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roberto.donati\Desktop\"/>
    </mc:Choice>
  </mc:AlternateContent>
  <xr:revisionPtr revIDLastSave="0" documentId="8_{37B4B16D-327D-493A-8945-6EA79104DFA4}" xr6:coauthVersionLast="47" xr6:coauthVersionMax="47" xr10:uidLastSave="{00000000-0000-0000-0000-000000000000}"/>
  <bookViews>
    <workbookView xWindow="-120" yWindow="-120" windowWidth="29040" windowHeight="15840" firstSheet="8" activeTab="11" xr2:uid="{00000000-000D-0000-FFFF-FFFF00000000}"/>
  </bookViews>
  <sheets>
    <sheet name="budget 2022-2023-2024" sheetId="12" r:id="rId1"/>
    <sheet name="SP SERVIZI 22-23 prova" sheetId="13" r:id="rId2"/>
    <sheet name="INVESTIMENTI FABIANI 22-23-24" sheetId="16" r:id="rId3"/>
    <sheet name="SP SERVIZI 22-23 " sheetId="14" r:id="rId4"/>
    <sheet name="fornit. e servizi 2022-23 SP " sheetId="5" r:id="rId5"/>
    <sheet name="TRIBUTI SERVIZI " sheetId="17" r:id="rId6"/>
    <sheet name="fornit.- serv.def 22-23 tributi" sheetId="9" r:id="rId7"/>
    <sheet name="SERVIZI SMS" sheetId="22" r:id="rId8"/>
    <sheet name="fornit.- serv.22-23 SMS" sheetId="21" r:id="rId9"/>
    <sheet name="trib ins.def. nei lavori 22-24" sheetId="19" r:id="rId10"/>
    <sheet name="SP-TRIB. nei lavori 22-24 " sheetId="15" r:id="rId11"/>
    <sheet name="fornit- serv.22-23 COMPLETO" sheetId="11" r:id="rId12"/>
    <sheet name="lavori 2022-23-24 compl." sheetId="10" r:id="rId13"/>
  </sheets>
  <externalReferences>
    <externalReference r:id="rId14"/>
  </externalReferences>
  <definedNames>
    <definedName name="_xlnm._FilterDatabase" localSheetId="2" hidden="1">'INVESTIMENTI FABIANI 22-23-24'!$A$4:$F$31</definedName>
    <definedName name="_xlnm.Print_Area" localSheetId="11">'fornit- serv.22-23 COMPLETO'!$A$64:$Q$95</definedName>
    <definedName name="_xlnm.Print_Area" localSheetId="4">'fornit. e servizi 2022-23 SP '!$A$7:$P$61</definedName>
    <definedName name="_xlnm.Print_Area" localSheetId="8">'fornit.- serv.22-23 SMS'!$A$1:$Y$21</definedName>
    <definedName name="_xlnm.Print_Area" localSheetId="6">'fornit.- serv.def 22-23 tributi'!$A$1:$Y$40</definedName>
    <definedName name="_xlnm.Print_Area" localSheetId="12">'lavori 2022-23-24 compl.'!$A$1:$P$37</definedName>
    <definedName name="_xlnm.Print_Area" localSheetId="5">'TRIBUTI SERVIZI '!$A$1:$N$111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0" l="1"/>
  <c r="G19" i="10"/>
  <c r="G16" i="10"/>
  <c r="G13" i="10"/>
  <c r="G12" i="10"/>
  <c r="G10" i="10"/>
  <c r="F20" i="10"/>
  <c r="F19" i="10"/>
  <c r="F13" i="10"/>
  <c r="F12" i="10"/>
  <c r="F11" i="10"/>
  <c r="F10" i="10"/>
  <c r="G101" i="15"/>
  <c r="E17" i="10"/>
  <c r="E19" i="10"/>
  <c r="E20" i="10"/>
  <c r="E18" i="10"/>
  <c r="E13" i="10"/>
  <c r="E12" i="10"/>
  <c r="E11" i="10"/>
  <c r="E10" i="10"/>
  <c r="O80" i="15"/>
  <c r="G80" i="15"/>
  <c r="R106" i="11"/>
  <c r="Q59" i="11"/>
  <c r="Q54" i="11"/>
  <c r="Q40" i="11"/>
  <c r="Q36" i="11"/>
  <c r="Q34" i="11"/>
  <c r="Q26" i="11"/>
  <c r="R16" i="21"/>
  <c r="T16" i="21" s="1"/>
  <c r="Q10" i="21"/>
  <c r="I11" i="22"/>
  <c r="J11" i="22"/>
  <c r="K11" i="22"/>
  <c r="L11" i="22"/>
  <c r="M11" i="22"/>
  <c r="Q10" i="22"/>
  <c r="O10" i="22"/>
  <c r="R21" i="21" s="1"/>
  <c r="T21" i="21" s="1"/>
  <c r="H10" i="22"/>
  <c r="Q15" i="21" s="1"/>
  <c r="T15" i="21" s="1"/>
  <c r="Q9" i="22"/>
  <c r="O9" i="22"/>
  <c r="R20" i="21" s="1"/>
  <c r="T20" i="21" s="1"/>
  <c r="H9" i="22"/>
  <c r="Q14" i="21" s="1"/>
  <c r="T14" i="21" s="1"/>
  <c r="Q8" i="22"/>
  <c r="O8" i="22"/>
  <c r="R19" i="21" s="1"/>
  <c r="T19" i="21" s="1"/>
  <c r="H8" i="22"/>
  <c r="Q13" i="21" s="1"/>
  <c r="T13" i="21" s="1"/>
  <c r="Q7" i="22"/>
  <c r="O7" i="22"/>
  <c r="R18" i="21" s="1"/>
  <c r="T18" i="21" s="1"/>
  <c r="H7" i="22"/>
  <c r="Q12" i="21" s="1"/>
  <c r="T12" i="21" s="1"/>
  <c r="Q5" i="22"/>
  <c r="O5" i="22"/>
  <c r="H5" i="22"/>
  <c r="Q4" i="22"/>
  <c r="O4" i="22"/>
  <c r="H4" i="22"/>
  <c r="S22" i="21"/>
  <c r="R71" i="9"/>
  <c r="R70" i="9"/>
  <c r="T70" i="9" s="1"/>
  <c r="R69" i="9"/>
  <c r="T69" i="9" s="1"/>
  <c r="R68" i="9"/>
  <c r="T68" i="9" s="1"/>
  <c r="R67" i="9"/>
  <c r="T67" i="9" s="1"/>
  <c r="R65" i="9"/>
  <c r="T65" i="9" s="1"/>
  <c r="R64" i="9"/>
  <c r="T64" i="9" s="1"/>
  <c r="R63" i="9"/>
  <c r="T63" i="9" s="1"/>
  <c r="R62" i="9"/>
  <c r="R61" i="9"/>
  <c r="T61" i="9" s="1"/>
  <c r="R60" i="9"/>
  <c r="T60" i="9" s="1"/>
  <c r="R59" i="9"/>
  <c r="R58" i="9"/>
  <c r="R57" i="9"/>
  <c r="T57" i="9" s="1"/>
  <c r="R56" i="9"/>
  <c r="T56" i="9" s="1"/>
  <c r="R54" i="9"/>
  <c r="R53" i="9"/>
  <c r="T53" i="9" s="1"/>
  <c r="R52" i="9"/>
  <c r="T52" i="9" s="1"/>
  <c r="R51" i="9"/>
  <c r="R50" i="9"/>
  <c r="R49" i="9"/>
  <c r="R48" i="9"/>
  <c r="T48" i="9" s="1"/>
  <c r="R47" i="9"/>
  <c r="T47" i="9" s="1"/>
  <c r="R43" i="9"/>
  <c r="T43" i="9" s="1"/>
  <c r="R42" i="9"/>
  <c r="R41" i="9"/>
  <c r="T41" i="9" s="1"/>
  <c r="Q108" i="17"/>
  <c r="Q98" i="17"/>
  <c r="R66" i="9" s="1"/>
  <c r="T66" i="9" s="1"/>
  <c r="Q92" i="17"/>
  <c r="Q75" i="17"/>
  <c r="R55" i="9" s="1"/>
  <c r="T55" i="9" s="1"/>
  <c r="Q72" i="17"/>
  <c r="Q48" i="17"/>
  <c r="Q37" i="17"/>
  <c r="Q28" i="17"/>
  <c r="R46" i="9" s="1"/>
  <c r="T46" i="9" s="1"/>
  <c r="Q14" i="17"/>
  <c r="R45" i="9" s="1"/>
  <c r="T45" i="9" s="1"/>
  <c r="T42" i="9"/>
  <c r="T49" i="9"/>
  <c r="T50" i="9"/>
  <c r="T51" i="9"/>
  <c r="T54" i="9"/>
  <c r="T58" i="9"/>
  <c r="T59" i="9"/>
  <c r="T62" i="9"/>
  <c r="T71" i="9"/>
  <c r="T72" i="9"/>
  <c r="Q6" i="19"/>
  <c r="P6" i="19"/>
  <c r="H6" i="19"/>
  <c r="G6" i="19"/>
  <c r="Q5" i="19"/>
  <c r="P5" i="19"/>
  <c r="H5" i="19"/>
  <c r="G5" i="19"/>
  <c r="G4" i="19"/>
  <c r="B4" i="19"/>
  <c r="Q3" i="19"/>
  <c r="P3" i="19"/>
  <c r="H3" i="19"/>
  <c r="G3" i="19"/>
  <c r="Q2" i="19"/>
  <c r="P2" i="19"/>
  <c r="H2" i="19"/>
  <c r="G2" i="19"/>
  <c r="Q1" i="19"/>
  <c r="Q8" i="19" s="1"/>
  <c r="P1" i="19"/>
  <c r="H1" i="19"/>
  <c r="G1" i="19"/>
  <c r="M8" i="19"/>
  <c r="L8" i="19"/>
  <c r="K8" i="19"/>
  <c r="J8" i="19"/>
  <c r="I8" i="19"/>
  <c r="H85" i="17"/>
  <c r="Q32" i="9" s="1"/>
  <c r="T32" i="9" s="1"/>
  <c r="G85" i="17"/>
  <c r="Q30" i="9"/>
  <c r="T30" i="9" s="1"/>
  <c r="Q22" i="9"/>
  <c r="T22" i="9" s="1"/>
  <c r="Q20" i="9"/>
  <c r="T20" i="9" s="1"/>
  <c r="Q18" i="9"/>
  <c r="T18" i="9" s="1"/>
  <c r="N48" i="17"/>
  <c r="Q21" i="9" s="1"/>
  <c r="T21" i="9" s="1"/>
  <c r="H8" i="19" l="1"/>
  <c r="P5" i="22"/>
  <c r="R17" i="21" s="1"/>
  <c r="T17" i="21" s="1"/>
  <c r="N5" i="22"/>
  <c r="Q11" i="21" s="1"/>
  <c r="T11" i="21" s="1"/>
  <c r="N80" i="15"/>
  <c r="Q22" i="21"/>
  <c r="H11" i="22"/>
  <c r="Q11" i="22"/>
  <c r="O11" i="22"/>
  <c r="T10" i="21"/>
  <c r="T22" i="21" s="1"/>
  <c r="R22" i="21"/>
  <c r="H110" i="17"/>
  <c r="Q40" i="9" s="1"/>
  <c r="T40" i="9" s="1"/>
  <c r="G110" i="17"/>
  <c r="G107" i="17"/>
  <c r="H97" i="17"/>
  <c r="G97" i="17"/>
  <c r="H106" i="17"/>
  <c r="N108" i="17" s="1"/>
  <c r="Q39" i="9" s="1"/>
  <c r="T39" i="9" s="1"/>
  <c r="G106" i="17"/>
  <c r="H104" i="17"/>
  <c r="Q38" i="9" s="1"/>
  <c r="T38" i="9" s="1"/>
  <c r="G104" i="17"/>
  <c r="H102" i="17"/>
  <c r="G102" i="17"/>
  <c r="H101" i="17"/>
  <c r="G101" i="17"/>
  <c r="H100" i="17"/>
  <c r="Q36" i="9" s="1"/>
  <c r="T36" i="9" s="1"/>
  <c r="G100" i="17"/>
  <c r="H96" i="17"/>
  <c r="G96" i="17"/>
  <c r="H27" i="17"/>
  <c r="G27" i="17"/>
  <c r="H94" i="17"/>
  <c r="Q34" i="9" s="1"/>
  <c r="T34" i="9" s="1"/>
  <c r="G94" i="17"/>
  <c r="H28" i="17"/>
  <c r="G28" i="17"/>
  <c r="H26" i="17"/>
  <c r="G26" i="17"/>
  <c r="H92" i="17"/>
  <c r="G92" i="17"/>
  <c r="H91" i="17"/>
  <c r="G91" i="17"/>
  <c r="H90" i="17"/>
  <c r="G90" i="17"/>
  <c r="H89" i="17"/>
  <c r="G89" i="17"/>
  <c r="H88" i="17"/>
  <c r="G88" i="17"/>
  <c r="H87" i="17"/>
  <c r="G87" i="17"/>
  <c r="H24" i="17"/>
  <c r="G24" i="17"/>
  <c r="H23" i="17"/>
  <c r="G23" i="17"/>
  <c r="H14" i="17"/>
  <c r="G14" i="17"/>
  <c r="H25" i="17"/>
  <c r="G25" i="17"/>
  <c r="H84" i="17"/>
  <c r="Q31" i="9" s="1"/>
  <c r="T31" i="9" s="1"/>
  <c r="G84" i="17"/>
  <c r="G83" i="17"/>
  <c r="H82" i="17"/>
  <c r="Q29" i="9" s="1"/>
  <c r="T29" i="9" s="1"/>
  <c r="G82" i="17"/>
  <c r="H81" i="17"/>
  <c r="Q28" i="9" s="1"/>
  <c r="T28" i="9" s="1"/>
  <c r="G81" i="17"/>
  <c r="H80" i="17"/>
  <c r="Q27" i="9" s="1"/>
  <c r="T27" i="9" s="1"/>
  <c r="G80" i="17"/>
  <c r="H78" i="17"/>
  <c r="Q26" i="9" s="1"/>
  <c r="T26" i="9" s="1"/>
  <c r="G78" i="17"/>
  <c r="H76" i="17"/>
  <c r="Q25" i="9" s="1"/>
  <c r="T25" i="9" s="1"/>
  <c r="G76" i="17"/>
  <c r="H75" i="17"/>
  <c r="G75" i="17"/>
  <c r="H74" i="17"/>
  <c r="G74" i="17"/>
  <c r="A74" i="17"/>
  <c r="H30" i="17"/>
  <c r="Q16" i="9" s="1"/>
  <c r="T16" i="9" s="1"/>
  <c r="G72" i="17"/>
  <c r="G71" i="17"/>
  <c r="G70" i="17"/>
  <c r="G69" i="17"/>
  <c r="G68" i="17"/>
  <c r="G67" i="17"/>
  <c r="G66" i="17"/>
  <c r="G65" i="17"/>
  <c r="G64" i="17"/>
  <c r="G63" i="17"/>
  <c r="G62" i="17"/>
  <c r="G61" i="17"/>
  <c r="G60" i="17"/>
  <c r="G59" i="17"/>
  <c r="G46" i="17"/>
  <c r="G45" i="17"/>
  <c r="G44" i="17"/>
  <c r="G43" i="17"/>
  <c r="R58" i="17"/>
  <c r="H58" i="17"/>
  <c r="G58" i="17"/>
  <c r="R57" i="17"/>
  <c r="H57" i="17"/>
  <c r="G57" i="17"/>
  <c r="G48" i="17"/>
  <c r="R56" i="17"/>
  <c r="H56" i="17"/>
  <c r="G56" i="17"/>
  <c r="R55" i="17"/>
  <c r="H55" i="17"/>
  <c r="G55" i="17"/>
  <c r="R54" i="17"/>
  <c r="H54" i="17"/>
  <c r="G54" i="17"/>
  <c r="G53" i="17"/>
  <c r="G52" i="17"/>
  <c r="G47" i="17"/>
  <c r="G50" i="17"/>
  <c r="G42" i="17"/>
  <c r="G22" i="17"/>
  <c r="G21" i="17"/>
  <c r="G39" i="17"/>
  <c r="G41" i="17"/>
  <c r="H20" i="17"/>
  <c r="G20" i="17"/>
  <c r="G37" i="17"/>
  <c r="H36" i="17"/>
  <c r="N37" i="17" s="1"/>
  <c r="Q19" i="9" s="1"/>
  <c r="T19" i="9" s="1"/>
  <c r="G36" i="17"/>
  <c r="H98" i="17"/>
  <c r="G98" i="17"/>
  <c r="G34" i="17"/>
  <c r="G19" i="17"/>
  <c r="G18" i="17"/>
  <c r="H17" i="17"/>
  <c r="G17" i="17"/>
  <c r="H13" i="17"/>
  <c r="G13" i="17"/>
  <c r="H12" i="17"/>
  <c r="G12" i="17"/>
  <c r="H11" i="17"/>
  <c r="G11" i="17"/>
  <c r="H10" i="17"/>
  <c r="G10" i="17"/>
  <c r="H9" i="17"/>
  <c r="G9" i="17"/>
  <c r="H8" i="17"/>
  <c r="G8" i="17"/>
  <c r="G16" i="17"/>
  <c r="H32" i="17"/>
  <c r="Q17" i="9" s="1"/>
  <c r="T17" i="9" s="1"/>
  <c r="G32" i="17"/>
  <c r="H6" i="17"/>
  <c r="Q13" i="9" s="1"/>
  <c r="T13" i="9" s="1"/>
  <c r="G6" i="17"/>
  <c r="H5" i="17"/>
  <c r="Q12" i="9" s="1"/>
  <c r="T12" i="9" s="1"/>
  <c r="G5" i="17"/>
  <c r="H4" i="17"/>
  <c r="Q11" i="9" s="1"/>
  <c r="T11" i="9" s="1"/>
  <c r="G4" i="17"/>
  <c r="H3" i="17"/>
  <c r="G3" i="17"/>
  <c r="B2" i="17"/>
  <c r="B3" i="17" s="1"/>
  <c r="B4" i="17" s="1"/>
  <c r="B5" i="17" s="1"/>
  <c r="R113" i="5"/>
  <c r="R112" i="5"/>
  <c r="T112" i="5" s="1"/>
  <c r="R111" i="5"/>
  <c r="T111" i="5" s="1"/>
  <c r="R106" i="5"/>
  <c r="T106" i="5" s="1"/>
  <c r="R88" i="5"/>
  <c r="T88" i="5" s="1"/>
  <c r="R68" i="5"/>
  <c r="R67" i="5"/>
  <c r="T67" i="5" s="1"/>
  <c r="R66" i="5"/>
  <c r="T66" i="5" s="1"/>
  <c r="R65" i="5"/>
  <c r="T65" i="5" s="1"/>
  <c r="R64" i="5"/>
  <c r="T64" i="5" s="1"/>
  <c r="R63" i="5"/>
  <c r="T63" i="5" s="1"/>
  <c r="T99" i="5"/>
  <c r="T100" i="5"/>
  <c r="T101" i="5"/>
  <c r="T113" i="5"/>
  <c r="T46" i="5"/>
  <c r="T47" i="5"/>
  <c r="T48" i="5"/>
  <c r="T61" i="5"/>
  <c r="T68" i="5"/>
  <c r="T114" i="5"/>
  <c r="P154" i="14"/>
  <c r="R77" i="5" s="1"/>
  <c r="T77" i="5" s="1"/>
  <c r="P126" i="14"/>
  <c r="R76" i="5" s="1"/>
  <c r="T76" i="5" s="1"/>
  <c r="P98" i="14"/>
  <c r="R73" i="5" s="1"/>
  <c r="T73" i="5" s="1"/>
  <c r="H206" i="14"/>
  <c r="J206" i="14"/>
  <c r="K206" i="14"/>
  <c r="L206" i="14"/>
  <c r="Q58" i="5"/>
  <c r="T58" i="5" s="1"/>
  <c r="Q53" i="5"/>
  <c r="T53" i="5" s="1"/>
  <c r="Q39" i="5"/>
  <c r="T39" i="5" s="1"/>
  <c r="Q35" i="5"/>
  <c r="T35" i="5" s="1"/>
  <c r="Q33" i="5"/>
  <c r="T33" i="5" s="1"/>
  <c r="Q31" i="5"/>
  <c r="T31" i="5" s="1"/>
  <c r="Q25" i="5"/>
  <c r="T25" i="5" s="1"/>
  <c r="N88" i="15"/>
  <c r="F16" i="10" s="1"/>
  <c r="H88" i="15"/>
  <c r="E16" i="10" s="1"/>
  <c r="I117" i="15"/>
  <c r="J117" i="15"/>
  <c r="K117" i="15"/>
  <c r="L117" i="15"/>
  <c r="M117" i="15"/>
  <c r="E32" i="16"/>
  <c r="D32" i="16"/>
  <c r="C32" i="16"/>
  <c r="B29" i="16"/>
  <c r="B28" i="16"/>
  <c r="B27" i="16"/>
  <c r="B26" i="16"/>
  <c r="B25" i="16"/>
  <c r="B24" i="16"/>
  <c r="B23" i="16"/>
  <c r="B22" i="16"/>
  <c r="B21" i="16"/>
  <c r="B20" i="16"/>
  <c r="B19" i="16"/>
  <c r="B18" i="16"/>
  <c r="B17" i="16"/>
  <c r="B16" i="16"/>
  <c r="B15" i="16"/>
  <c r="B14" i="16"/>
  <c r="B13" i="16"/>
  <c r="B11" i="16"/>
  <c r="B10" i="16"/>
  <c r="B9" i="16"/>
  <c r="B8" i="16"/>
  <c r="B7" i="16"/>
  <c r="B6" i="16"/>
  <c r="B5" i="16"/>
  <c r="N98" i="17" l="1"/>
  <c r="Q35" i="9" s="1"/>
  <c r="T35" i="9" s="1"/>
  <c r="Q37" i="9"/>
  <c r="T37" i="9" s="1"/>
  <c r="Q10" i="9"/>
  <c r="H111" i="17"/>
  <c r="N28" i="17"/>
  <c r="Q15" i="9" s="1"/>
  <c r="T15" i="9" s="1"/>
  <c r="N75" i="17"/>
  <c r="Q24" i="9" s="1"/>
  <c r="T24" i="9" s="1"/>
  <c r="N72" i="17"/>
  <c r="Q23" i="9" s="1"/>
  <c r="T23" i="9" s="1"/>
  <c r="N14" i="17"/>
  <c r="Q14" i="9" s="1"/>
  <c r="T14" i="9" s="1"/>
  <c r="N92" i="17"/>
  <c r="Q33" i="9" s="1"/>
  <c r="T33" i="9" s="1"/>
  <c r="P6" i="17"/>
  <c r="O98" i="15"/>
  <c r="N98" i="15"/>
  <c r="G98" i="15"/>
  <c r="O97" i="15"/>
  <c r="N97" i="15"/>
  <c r="G97" i="15"/>
  <c r="O96" i="15"/>
  <c r="H96" i="15"/>
  <c r="N96" i="15" s="1"/>
  <c r="G96" i="15"/>
  <c r="O95" i="15"/>
  <c r="H95" i="15"/>
  <c r="N95" i="15" s="1"/>
  <c r="G95" i="15"/>
  <c r="O94" i="15"/>
  <c r="H94" i="15"/>
  <c r="N94" i="15" s="1"/>
  <c r="G94" i="15"/>
  <c r="O93" i="15"/>
  <c r="H93" i="15"/>
  <c r="N93" i="15" s="1"/>
  <c r="G93" i="15"/>
  <c r="O92" i="15"/>
  <c r="H92" i="15"/>
  <c r="N92" i="15" s="1"/>
  <c r="G92" i="15"/>
  <c r="O91" i="15"/>
  <c r="H91" i="15"/>
  <c r="N91" i="15" s="1"/>
  <c r="G91" i="15"/>
  <c r="G89" i="15"/>
  <c r="G88" i="15"/>
  <c r="H87" i="15"/>
  <c r="G87" i="15"/>
  <c r="G84" i="15"/>
  <c r="G83" i="15"/>
  <c r="N82" i="15"/>
  <c r="G82" i="15"/>
  <c r="G81" i="15"/>
  <c r="O86" i="15"/>
  <c r="N86" i="15"/>
  <c r="G86" i="15"/>
  <c r="O85" i="15"/>
  <c r="H85" i="15"/>
  <c r="G85" i="15"/>
  <c r="O79" i="15"/>
  <c r="H79" i="15"/>
  <c r="G79" i="15"/>
  <c r="O78" i="15"/>
  <c r="G11" i="10" s="1"/>
  <c r="G78" i="15"/>
  <c r="G77" i="15"/>
  <c r="O76" i="15"/>
  <c r="H76" i="15"/>
  <c r="G76" i="15"/>
  <c r="G69" i="15"/>
  <c r="G68" i="15"/>
  <c r="G67" i="15"/>
  <c r="O66" i="15"/>
  <c r="N66" i="15"/>
  <c r="N65" i="15" s="1"/>
  <c r="H66" i="15"/>
  <c r="H65" i="15" s="1"/>
  <c r="G66" i="15"/>
  <c r="O65" i="15"/>
  <c r="F65" i="15"/>
  <c r="E65" i="15"/>
  <c r="G63" i="15"/>
  <c r="H62" i="15"/>
  <c r="G62" i="15"/>
  <c r="G61" i="15"/>
  <c r="G60" i="15"/>
  <c r="G59" i="15"/>
  <c r="G58" i="15"/>
  <c r="O57" i="15"/>
  <c r="N57" i="15"/>
  <c r="H57" i="15"/>
  <c r="G57" i="15"/>
  <c r="H56" i="15"/>
  <c r="G56" i="15"/>
  <c r="O55" i="15"/>
  <c r="N55" i="15"/>
  <c r="H55" i="15"/>
  <c r="G55" i="15"/>
  <c r="G54" i="15"/>
  <c r="H53" i="15"/>
  <c r="G53" i="15"/>
  <c r="H52" i="15"/>
  <c r="G52" i="15"/>
  <c r="G51" i="15"/>
  <c r="H50" i="15"/>
  <c r="N50" i="15" s="1"/>
  <c r="G50" i="15"/>
  <c r="G49" i="15"/>
  <c r="H48" i="15"/>
  <c r="N48" i="15" s="1"/>
  <c r="O48" i="15" s="1"/>
  <c r="G48" i="15"/>
  <c r="O47" i="15"/>
  <c r="N47" i="15"/>
  <c r="H47" i="15"/>
  <c r="G47" i="15"/>
  <c r="F46" i="15"/>
  <c r="E46" i="15"/>
  <c r="G45" i="15"/>
  <c r="G44" i="15"/>
  <c r="O43" i="15"/>
  <c r="N43" i="15"/>
  <c r="N42" i="15" s="1"/>
  <c r="H43" i="15"/>
  <c r="H42" i="15" s="1"/>
  <c r="G43" i="15"/>
  <c r="O42" i="15"/>
  <c r="F42" i="15"/>
  <c r="F41" i="15" s="1"/>
  <c r="E42" i="15"/>
  <c r="O38" i="15"/>
  <c r="N38" i="15"/>
  <c r="J38" i="15"/>
  <c r="H38" i="15"/>
  <c r="G37" i="15"/>
  <c r="O36" i="15"/>
  <c r="N36" i="15"/>
  <c r="H36" i="15"/>
  <c r="F36" i="15"/>
  <c r="E36" i="15"/>
  <c r="G35" i="15"/>
  <c r="G34" i="15"/>
  <c r="G33" i="15"/>
  <c r="G32" i="15"/>
  <c r="G31" i="15"/>
  <c r="G30" i="15"/>
  <c r="O29" i="15"/>
  <c r="N29" i="15"/>
  <c r="H29" i="15"/>
  <c r="F29" i="15"/>
  <c r="E29" i="15"/>
  <c r="G28" i="15"/>
  <c r="G27" i="15"/>
  <c r="G26" i="15"/>
  <c r="O25" i="15"/>
  <c r="N25" i="15"/>
  <c r="H25" i="15"/>
  <c r="F25" i="15"/>
  <c r="E25" i="15"/>
  <c r="G24" i="15"/>
  <c r="G23" i="15"/>
  <c r="O22" i="15"/>
  <c r="N22" i="15"/>
  <c r="H22" i="15"/>
  <c r="F22" i="15"/>
  <c r="E22" i="15"/>
  <c r="G21" i="15"/>
  <c r="G20" i="15"/>
  <c r="G19" i="15"/>
  <c r="G18" i="15"/>
  <c r="G17" i="15"/>
  <c r="G16" i="15"/>
  <c r="G15" i="15"/>
  <c r="G14" i="15"/>
  <c r="G13" i="15"/>
  <c r="G12" i="15"/>
  <c r="G11" i="15"/>
  <c r="G10" i="15"/>
  <c r="O9" i="15"/>
  <c r="N9" i="15"/>
  <c r="H9" i="15"/>
  <c r="F9" i="15"/>
  <c r="E9" i="15"/>
  <c r="G8" i="15"/>
  <c r="G7" i="15"/>
  <c r="G6" i="15"/>
  <c r="G5" i="15"/>
  <c r="O4" i="15"/>
  <c r="N4" i="15"/>
  <c r="N3" i="15" s="1"/>
  <c r="H4" i="15"/>
  <c r="H3" i="15" s="1"/>
  <c r="B4" i="15"/>
  <c r="B5" i="15" s="1"/>
  <c r="B6" i="15" s="1"/>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9" i="15" s="1"/>
  <c r="B40" i="15" s="1"/>
  <c r="B41" i="15" s="1"/>
  <c r="B47" i="15" s="1"/>
  <c r="B48" i="15" s="1"/>
  <c r="B49" i="15" s="1"/>
  <c r="B50" i="15" s="1"/>
  <c r="B51" i="15" s="1"/>
  <c r="B52" i="15" s="1"/>
  <c r="B53" i="15" s="1"/>
  <c r="B54" i="15" s="1"/>
  <c r="B55" i="15" s="1"/>
  <c r="B56" i="15" s="1"/>
  <c r="B57" i="15" s="1"/>
  <c r="B58" i="15" s="1"/>
  <c r="B59" i="15" s="1"/>
  <c r="B43" i="15" s="1"/>
  <c r="B62" i="15" s="1"/>
  <c r="B60" i="15" s="1"/>
  <c r="B61" i="15" s="1"/>
  <c r="B65" i="15" s="1"/>
  <c r="B66" i="15" s="1"/>
  <c r="B67" i="15" s="1"/>
  <c r="B68" i="15" s="1"/>
  <c r="B72" i="15" s="1"/>
  <c r="B73" i="15" s="1"/>
  <c r="B74" i="15" s="1"/>
  <c r="B75" i="15" s="1"/>
  <c r="G205" i="14"/>
  <c r="F205" i="14"/>
  <c r="U204" i="14"/>
  <c r="G204" i="14"/>
  <c r="F204" i="14"/>
  <c r="A205" i="14"/>
  <c r="A204" i="14"/>
  <c r="Q200" i="14"/>
  <c r="O200" i="14"/>
  <c r="G200" i="14"/>
  <c r="Q199" i="14"/>
  <c r="O199" i="14"/>
  <c r="P201" i="14" s="1"/>
  <c r="R110" i="5" s="1"/>
  <c r="T110" i="5" s="1"/>
  <c r="G199" i="14"/>
  <c r="F195" i="14"/>
  <c r="Q194" i="14"/>
  <c r="O194" i="14"/>
  <c r="R105" i="5" s="1"/>
  <c r="T105" i="5" s="1"/>
  <c r="G194" i="14"/>
  <c r="F194" i="14"/>
  <c r="U193" i="14"/>
  <c r="Q193" i="14"/>
  <c r="O193" i="14"/>
  <c r="R104" i="5" s="1"/>
  <c r="T104" i="5" s="1"/>
  <c r="G193" i="14"/>
  <c r="F193" i="14"/>
  <c r="A193" i="14"/>
  <c r="G190" i="14"/>
  <c r="O190" i="14" s="1"/>
  <c r="F190" i="14"/>
  <c r="G188" i="14"/>
  <c r="Q50" i="11" s="1"/>
  <c r="F188" i="14"/>
  <c r="G186" i="14"/>
  <c r="O186" i="14" s="1"/>
  <c r="F186" i="14"/>
  <c r="U198" i="14"/>
  <c r="G198" i="14"/>
  <c r="Q57" i="11" s="1"/>
  <c r="F198" i="14"/>
  <c r="G197" i="14"/>
  <c r="Q56" i="11" s="1"/>
  <c r="F197" i="14"/>
  <c r="G196" i="14"/>
  <c r="Q55" i="11" s="1"/>
  <c r="F196" i="14"/>
  <c r="F185" i="14"/>
  <c r="F184" i="14"/>
  <c r="U183" i="14"/>
  <c r="G183" i="14"/>
  <c r="Q183" i="14" s="1"/>
  <c r="F183" i="14"/>
  <c r="G182" i="14"/>
  <c r="Q182" i="14" s="1"/>
  <c r="F182" i="14"/>
  <c r="F181" i="14"/>
  <c r="Q180" i="14"/>
  <c r="G179" i="14"/>
  <c r="F179" i="14"/>
  <c r="O177" i="14"/>
  <c r="R97" i="5" s="1"/>
  <c r="T97" i="5" s="1"/>
  <c r="G177" i="14"/>
  <c r="Q45" i="11" s="1"/>
  <c r="F177" i="14"/>
  <c r="U176" i="14"/>
  <c r="G176" i="14"/>
  <c r="Q44" i="11" s="1"/>
  <c r="F176" i="14"/>
  <c r="G175" i="14"/>
  <c r="Q43" i="11" s="1"/>
  <c r="F175" i="14"/>
  <c r="G174" i="14"/>
  <c r="Q42" i="11" s="1"/>
  <c r="F174" i="14"/>
  <c r="G173" i="14"/>
  <c r="Q41" i="11" s="1"/>
  <c r="F173" i="14"/>
  <c r="Q172" i="14"/>
  <c r="O172" i="14"/>
  <c r="R92" i="5" s="1"/>
  <c r="T92" i="5" s="1"/>
  <c r="F172" i="14"/>
  <c r="Q170" i="14"/>
  <c r="O170" i="14"/>
  <c r="G170" i="14"/>
  <c r="F170" i="14"/>
  <c r="G169" i="14"/>
  <c r="F169" i="14"/>
  <c r="G167" i="14"/>
  <c r="Q38" i="11" s="1"/>
  <c r="F167" i="14"/>
  <c r="G166" i="14"/>
  <c r="Q37" i="11" s="1"/>
  <c r="F166" i="14"/>
  <c r="F165" i="14"/>
  <c r="G164" i="14"/>
  <c r="Q35" i="11" s="1"/>
  <c r="F164" i="14"/>
  <c r="U163" i="14"/>
  <c r="Q163" i="14"/>
  <c r="O163" i="14"/>
  <c r="R86" i="5" s="1"/>
  <c r="T86" i="5" s="1"/>
  <c r="I163" i="14"/>
  <c r="I206" i="14" s="1"/>
  <c r="F163" i="14"/>
  <c r="U162" i="14"/>
  <c r="G162" i="14"/>
  <c r="Q33" i="11" s="1"/>
  <c r="F162" i="14"/>
  <c r="Q161" i="14"/>
  <c r="O161" i="14"/>
  <c r="R84" i="5" s="1"/>
  <c r="T84" i="5" s="1"/>
  <c r="F161" i="14"/>
  <c r="Q160" i="14"/>
  <c r="O160" i="14"/>
  <c r="R83" i="5" s="1"/>
  <c r="T83" i="5" s="1"/>
  <c r="G160" i="14"/>
  <c r="F160" i="14"/>
  <c r="Q159" i="14"/>
  <c r="O159" i="14"/>
  <c r="R82" i="5" s="1"/>
  <c r="T82" i="5" s="1"/>
  <c r="G159" i="14"/>
  <c r="F159" i="14"/>
  <c r="G158" i="14"/>
  <c r="Q29" i="11" s="1"/>
  <c r="F158" i="14"/>
  <c r="G157" i="14"/>
  <c r="Q28" i="11" s="1"/>
  <c r="F157" i="14"/>
  <c r="G156" i="14"/>
  <c r="Q27" i="11" s="1"/>
  <c r="F156" i="14"/>
  <c r="O155" i="14"/>
  <c r="R78" i="5" s="1"/>
  <c r="T78" i="5" s="1"/>
  <c r="F155" i="14"/>
  <c r="Q154" i="14"/>
  <c r="M154" i="14"/>
  <c r="E154" i="14"/>
  <c r="D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E119" i="14"/>
  <c r="D119" i="14"/>
  <c r="F118" i="14"/>
  <c r="G117" i="14"/>
  <c r="F117" i="14"/>
  <c r="G124" i="14"/>
  <c r="F124" i="14"/>
  <c r="G123" i="14"/>
  <c r="F123" i="14"/>
  <c r="G116" i="14"/>
  <c r="F116" i="14"/>
  <c r="G115" i="14"/>
  <c r="F115" i="14"/>
  <c r="U120" i="14"/>
  <c r="G120" i="14"/>
  <c r="F120" i="14"/>
  <c r="G114" i="14"/>
  <c r="F114" i="14"/>
  <c r="U113" i="14"/>
  <c r="G113" i="14"/>
  <c r="F113" i="14"/>
  <c r="G112" i="14"/>
  <c r="F112" i="14"/>
  <c r="G111" i="14"/>
  <c r="F111" i="14"/>
  <c r="G122" i="14"/>
  <c r="F122" i="14"/>
  <c r="G121" i="14"/>
  <c r="F121" i="14"/>
  <c r="G110" i="14"/>
  <c r="F110" i="14"/>
  <c r="G109" i="14"/>
  <c r="F109" i="14"/>
  <c r="G108" i="14"/>
  <c r="O108" i="14" s="1"/>
  <c r="Q108" i="14" s="1"/>
  <c r="F108" i="14"/>
  <c r="G107" i="14"/>
  <c r="F107" i="14"/>
  <c r="G106" i="14"/>
  <c r="O106" i="14" s="1"/>
  <c r="P119" i="14" s="1"/>
  <c r="R75" i="5" s="1"/>
  <c r="T75" i="5" s="1"/>
  <c r="F106" i="14"/>
  <c r="G104" i="14"/>
  <c r="F104" i="14"/>
  <c r="G103" i="14"/>
  <c r="F103" i="14"/>
  <c r="G102" i="14"/>
  <c r="O102" i="14" s="1"/>
  <c r="Q102" i="14" s="1"/>
  <c r="F102" i="14"/>
  <c r="G101" i="14"/>
  <c r="O101" i="14" s="1"/>
  <c r="Q101" i="14" s="1"/>
  <c r="F101" i="14"/>
  <c r="G100" i="14"/>
  <c r="O100" i="14" s="1"/>
  <c r="Q100" i="14" s="1"/>
  <c r="F100" i="14"/>
  <c r="G99" i="14"/>
  <c r="F99" i="14"/>
  <c r="Q98" i="14"/>
  <c r="E98" i="14"/>
  <c r="D98" i="14"/>
  <c r="F97" i="14"/>
  <c r="G96" i="14"/>
  <c r="F96" i="14"/>
  <c r="U95" i="14"/>
  <c r="G95" i="14"/>
  <c r="F95" i="14"/>
  <c r="G94" i="14"/>
  <c r="F94" i="14"/>
  <c r="G93" i="14"/>
  <c r="F93" i="14"/>
  <c r="G92" i="14"/>
  <c r="F92" i="14"/>
  <c r="A92" i="14"/>
  <c r="A93" i="14" s="1"/>
  <c r="A94" i="14" s="1"/>
  <c r="A95" i="14" s="1"/>
  <c r="A96" i="14" s="1"/>
  <c r="A97" i="14" s="1"/>
  <c r="A98" i="14" s="1"/>
  <c r="A99" i="14" s="1"/>
  <c r="A101" i="14" s="1"/>
  <c r="A100" i="14" s="1"/>
  <c r="A102" i="14" s="1"/>
  <c r="A103" i="14" s="1"/>
  <c r="A104" i="14" s="1"/>
  <c r="A105" i="14" s="1"/>
  <c r="A106" i="14" s="1"/>
  <c r="A107" i="14" s="1"/>
  <c r="A111" i="14" s="1"/>
  <c r="A108" i="14" s="1"/>
  <c r="A109" i="14" s="1"/>
  <c r="A110" i="14" s="1"/>
  <c r="A121" i="14" s="1"/>
  <c r="A122" i="14" s="1"/>
  <c r="A112" i="14" s="1"/>
  <c r="A113" i="14" s="1"/>
  <c r="A114" i="14" s="1"/>
  <c r="A115" i="14" s="1"/>
  <c r="A117" i="14" s="1"/>
  <c r="G90" i="14"/>
  <c r="Q20" i="11" s="1"/>
  <c r="F90" i="14"/>
  <c r="G89" i="14"/>
  <c r="Q19" i="11" s="1"/>
  <c r="F89" i="14"/>
  <c r="G87" i="14"/>
  <c r="Q87" i="14" s="1"/>
  <c r="F87" i="14"/>
  <c r="G86" i="14"/>
  <c r="F86" i="14"/>
  <c r="G85" i="14"/>
  <c r="Q17" i="11" s="1"/>
  <c r="F85" i="14"/>
  <c r="A85" i="14"/>
  <c r="A86" i="14" s="1"/>
  <c r="A87" i="14" s="1"/>
  <c r="A89" i="14" s="1"/>
  <c r="A90" i="14" s="1"/>
  <c r="G83" i="14"/>
  <c r="F83" i="14"/>
  <c r="G82" i="14"/>
  <c r="F82" i="14"/>
  <c r="G81" i="14"/>
  <c r="F81" i="14"/>
  <c r="G80" i="14"/>
  <c r="F80" i="14"/>
  <c r="G79" i="14"/>
  <c r="F79" i="14"/>
  <c r="G78" i="14"/>
  <c r="F78" i="14"/>
  <c r="A78" i="14"/>
  <c r="A79" i="14" s="1"/>
  <c r="A80" i="14" s="1"/>
  <c r="A81" i="14" s="1"/>
  <c r="A82" i="14" s="1"/>
  <c r="A83" i="14" s="1"/>
  <c r="F69" i="14"/>
  <c r="F68" i="14"/>
  <c r="F67" i="14"/>
  <c r="Q66" i="14"/>
  <c r="Q65" i="14" s="1"/>
  <c r="O66" i="14"/>
  <c r="O65" i="14" s="1"/>
  <c r="G66" i="14"/>
  <c r="G65" i="14" s="1"/>
  <c r="F66" i="14"/>
  <c r="E65" i="14"/>
  <c r="D65" i="14"/>
  <c r="F63" i="14"/>
  <c r="G62" i="14"/>
  <c r="F62" i="14"/>
  <c r="F61" i="14"/>
  <c r="F60" i="14"/>
  <c r="F59" i="14"/>
  <c r="F58" i="14"/>
  <c r="Q57" i="14"/>
  <c r="O57" i="14"/>
  <c r="G57" i="14"/>
  <c r="F57" i="14"/>
  <c r="G56" i="14"/>
  <c r="F56" i="14"/>
  <c r="Q55" i="14"/>
  <c r="O55" i="14"/>
  <c r="G55" i="14"/>
  <c r="F55" i="14"/>
  <c r="F54" i="14"/>
  <c r="G53" i="14"/>
  <c r="F53" i="14"/>
  <c r="G52" i="14"/>
  <c r="F52" i="14"/>
  <c r="F51" i="14"/>
  <c r="G50" i="14"/>
  <c r="F50" i="14"/>
  <c r="F49" i="14"/>
  <c r="G48" i="14"/>
  <c r="O48" i="14" s="1"/>
  <c r="Q48" i="14" s="1"/>
  <c r="F48" i="14"/>
  <c r="Q47" i="14"/>
  <c r="O47" i="14"/>
  <c r="G47" i="14"/>
  <c r="F47" i="14"/>
  <c r="E46" i="14"/>
  <c r="D46" i="14"/>
  <c r="F45" i="14"/>
  <c r="F44" i="14"/>
  <c r="Q43" i="14"/>
  <c r="Q42" i="14" s="1"/>
  <c r="O43" i="14"/>
  <c r="O42" i="14" s="1"/>
  <c r="G43" i="14"/>
  <c r="G42" i="14" s="1"/>
  <c r="F43" i="14"/>
  <c r="E42" i="14"/>
  <c r="D42" i="14"/>
  <c r="Q38" i="14"/>
  <c r="O38" i="14"/>
  <c r="I38" i="14"/>
  <c r="G38" i="14"/>
  <c r="F37" i="14"/>
  <c r="Q36" i="14"/>
  <c r="O36" i="14"/>
  <c r="G36" i="14"/>
  <c r="E36" i="14"/>
  <c r="D36" i="14"/>
  <c r="F35" i="14"/>
  <c r="F34" i="14"/>
  <c r="F33" i="14"/>
  <c r="F32" i="14"/>
  <c r="F31" i="14"/>
  <c r="F30" i="14"/>
  <c r="Q29" i="14"/>
  <c r="O29" i="14"/>
  <c r="G29" i="14"/>
  <c r="E29" i="14"/>
  <c r="D29" i="14"/>
  <c r="F28" i="14"/>
  <c r="F27" i="14"/>
  <c r="F26" i="14"/>
  <c r="Q25" i="14"/>
  <c r="O25" i="14"/>
  <c r="G25" i="14"/>
  <c r="E25" i="14"/>
  <c r="D25" i="14"/>
  <c r="F24" i="14"/>
  <c r="F23" i="14"/>
  <c r="Q22" i="14"/>
  <c r="O22" i="14"/>
  <c r="G22" i="14"/>
  <c r="E22" i="14"/>
  <c r="D22" i="14"/>
  <c r="F21" i="14"/>
  <c r="F20" i="14"/>
  <c r="F19" i="14"/>
  <c r="F18" i="14"/>
  <c r="F17" i="14"/>
  <c r="F16" i="14"/>
  <c r="F15" i="14"/>
  <c r="F14" i="14"/>
  <c r="F13" i="14"/>
  <c r="F12" i="14"/>
  <c r="F11" i="14"/>
  <c r="F10" i="14"/>
  <c r="Q9" i="14"/>
  <c r="O9" i="14"/>
  <c r="G9" i="14"/>
  <c r="E9" i="14"/>
  <c r="D9" i="14"/>
  <c r="F8" i="14"/>
  <c r="F7" i="14"/>
  <c r="F6" i="14"/>
  <c r="F5" i="14"/>
  <c r="Q4" i="14"/>
  <c r="O4" i="14"/>
  <c r="G4" i="14"/>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9" i="14" s="1"/>
  <c r="A40" i="14" s="1"/>
  <c r="A41" i="14" s="1"/>
  <c r="A47" i="14" s="1"/>
  <c r="A48" i="14" s="1"/>
  <c r="A49" i="14" s="1"/>
  <c r="A50" i="14" s="1"/>
  <c r="A51" i="14" s="1"/>
  <c r="A52" i="14" s="1"/>
  <c r="A53" i="14" s="1"/>
  <c r="A54" i="14" s="1"/>
  <c r="A55" i="14" s="1"/>
  <c r="A56" i="14" s="1"/>
  <c r="A57" i="14" s="1"/>
  <c r="A58" i="14" s="1"/>
  <c r="A59" i="14" s="1"/>
  <c r="A43" i="14" s="1"/>
  <c r="A62" i="14" s="1"/>
  <c r="A60" i="14" s="1"/>
  <c r="A61" i="14" s="1"/>
  <c r="A65" i="14" s="1"/>
  <c r="A66" i="14" s="1"/>
  <c r="A67" i="14" s="1"/>
  <c r="A68" i="14" s="1"/>
  <c r="A72" i="14" s="1"/>
  <c r="A73" i="14" s="1"/>
  <c r="A74" i="14" s="1"/>
  <c r="A75" i="14" s="1"/>
  <c r="A76" i="14" s="1"/>
  <c r="A77" i="14" s="1"/>
  <c r="N154" i="13"/>
  <c r="H267" i="13"/>
  <c r="G267" i="13"/>
  <c r="H266" i="13"/>
  <c r="G266" i="13"/>
  <c r="H265" i="13"/>
  <c r="G265" i="13"/>
  <c r="G264" i="13"/>
  <c r="G263" i="13"/>
  <c r="H262" i="13"/>
  <c r="G262" i="13"/>
  <c r="H261" i="13"/>
  <c r="G261" i="13"/>
  <c r="H260" i="13"/>
  <c r="G260" i="13"/>
  <c r="H259" i="13"/>
  <c r="G259" i="13"/>
  <c r="H258" i="13"/>
  <c r="G258" i="13"/>
  <c r="H257" i="13"/>
  <c r="G257" i="13"/>
  <c r="H256" i="13"/>
  <c r="G256" i="13"/>
  <c r="H255" i="13"/>
  <c r="G255" i="13"/>
  <c r="H254" i="13"/>
  <c r="G254" i="13"/>
  <c r="H253" i="13"/>
  <c r="G253" i="13"/>
  <c r="H252" i="13"/>
  <c r="G252" i="13"/>
  <c r="U251" i="13"/>
  <c r="H251" i="13"/>
  <c r="G251" i="13"/>
  <c r="H250" i="13"/>
  <c r="G250" i="13"/>
  <c r="H249" i="13"/>
  <c r="G249" i="13"/>
  <c r="H248" i="13"/>
  <c r="G248" i="13"/>
  <c r="H247" i="13"/>
  <c r="G247" i="13"/>
  <c r="H246" i="13"/>
  <c r="G246" i="13"/>
  <c r="H245" i="13"/>
  <c r="G245" i="13"/>
  <c r="H244" i="13"/>
  <c r="G244" i="13"/>
  <c r="H243" i="13"/>
  <c r="G243" i="13"/>
  <c r="H242" i="13"/>
  <c r="G242" i="13"/>
  <c r="H241" i="13"/>
  <c r="G241" i="13"/>
  <c r="G240" i="13"/>
  <c r="H239" i="13"/>
  <c r="G239" i="13"/>
  <c r="Q236" i="13"/>
  <c r="P236" i="13"/>
  <c r="H236" i="13"/>
  <c r="Q235" i="13"/>
  <c r="P235" i="13"/>
  <c r="H235" i="13"/>
  <c r="G234" i="13"/>
  <c r="Q233" i="13"/>
  <c r="P233" i="13"/>
  <c r="H233" i="13"/>
  <c r="G233" i="13"/>
  <c r="U232" i="13"/>
  <c r="Q232" i="13"/>
  <c r="P232" i="13"/>
  <c r="H232" i="13"/>
  <c r="G232" i="13"/>
  <c r="F230" i="13"/>
  <c r="E230" i="13"/>
  <c r="H222" i="13"/>
  <c r="P222" i="13" s="1"/>
  <c r="G222" i="13"/>
  <c r="Q225" i="13"/>
  <c r="P225" i="13"/>
  <c r="G225" i="13"/>
  <c r="H224" i="13"/>
  <c r="Q224" i="13" s="1"/>
  <c r="G224" i="13"/>
  <c r="U221" i="13"/>
  <c r="H221" i="13"/>
  <c r="Q221" i="13" s="1"/>
  <c r="G221" i="13"/>
  <c r="H220" i="13"/>
  <c r="Q220" i="13" s="1"/>
  <c r="G220" i="13"/>
  <c r="H219" i="13"/>
  <c r="Q219" i="13" s="1"/>
  <c r="G219" i="13"/>
  <c r="G218" i="13"/>
  <c r="P210" i="13"/>
  <c r="H210" i="13"/>
  <c r="Q210" i="13" s="1"/>
  <c r="G210" i="13"/>
  <c r="G217" i="13"/>
  <c r="U209" i="13"/>
  <c r="H209" i="13"/>
  <c r="P209" i="13" s="1"/>
  <c r="G209" i="13"/>
  <c r="U216" i="13"/>
  <c r="H216" i="13"/>
  <c r="Q216" i="13" s="1"/>
  <c r="G216" i="13"/>
  <c r="H215" i="13"/>
  <c r="Q215" i="13" s="1"/>
  <c r="G215" i="13"/>
  <c r="G214" i="13"/>
  <c r="Q213" i="13"/>
  <c r="H212" i="13"/>
  <c r="Q212" i="13" s="1"/>
  <c r="G212" i="13"/>
  <c r="H208" i="13"/>
  <c r="Q208" i="13" s="1"/>
  <c r="G208" i="13"/>
  <c r="H207" i="13"/>
  <c r="P207" i="13" s="1"/>
  <c r="G207" i="13"/>
  <c r="H206" i="13"/>
  <c r="Q206" i="13" s="1"/>
  <c r="G206" i="13"/>
  <c r="H205" i="13"/>
  <c r="Q205" i="13" s="1"/>
  <c r="G205" i="13"/>
  <c r="Q204" i="13"/>
  <c r="P204" i="13"/>
  <c r="G204" i="13"/>
  <c r="Q202" i="13"/>
  <c r="P202" i="13"/>
  <c r="H202" i="13"/>
  <c r="G202" i="13"/>
  <c r="H201" i="13"/>
  <c r="P201" i="13" s="1"/>
  <c r="G201" i="13"/>
  <c r="H200" i="13"/>
  <c r="Q200" i="13" s="1"/>
  <c r="G200" i="13"/>
  <c r="H199" i="13"/>
  <c r="Q199" i="13" s="1"/>
  <c r="G199" i="13"/>
  <c r="Q198" i="13"/>
  <c r="P198" i="13"/>
  <c r="H198" i="13"/>
  <c r="G198" i="13"/>
  <c r="Q197" i="13"/>
  <c r="P197" i="13"/>
  <c r="H197" i="13"/>
  <c r="G197" i="13"/>
  <c r="H196" i="13"/>
  <c r="Q196" i="13" s="1"/>
  <c r="G196" i="13"/>
  <c r="H195" i="13"/>
  <c r="Q195" i="13" s="1"/>
  <c r="G195" i="13"/>
  <c r="G194" i="13"/>
  <c r="H193" i="13"/>
  <c r="Q193" i="13" s="1"/>
  <c r="G193" i="13"/>
  <c r="U192" i="13"/>
  <c r="Q192" i="13"/>
  <c r="P192" i="13"/>
  <c r="J192" i="13"/>
  <c r="G192" i="13"/>
  <c r="U191" i="13"/>
  <c r="H191" i="13"/>
  <c r="Q191" i="13" s="1"/>
  <c r="G191" i="13"/>
  <c r="Q190" i="13"/>
  <c r="P190" i="13"/>
  <c r="G190" i="13"/>
  <c r="Q189" i="13"/>
  <c r="P189" i="13"/>
  <c r="G189" i="13"/>
  <c r="Q188" i="13"/>
  <c r="P188" i="13"/>
  <c r="H188" i="13"/>
  <c r="G188" i="13"/>
  <c r="Q187" i="13"/>
  <c r="P187" i="13"/>
  <c r="H187" i="13"/>
  <c r="G187" i="13"/>
  <c r="H186" i="13"/>
  <c r="P186" i="13" s="1"/>
  <c r="G186" i="13"/>
  <c r="H185" i="13"/>
  <c r="Q185" i="13" s="1"/>
  <c r="G185" i="13"/>
  <c r="H184" i="13"/>
  <c r="P184" i="13" s="1"/>
  <c r="G184" i="13"/>
  <c r="H183" i="13"/>
  <c r="Q183" i="13" s="1"/>
  <c r="G183" i="13"/>
  <c r="H182" i="13"/>
  <c r="G182" i="13"/>
  <c r="Q178" i="13"/>
  <c r="P178" i="13"/>
  <c r="G178" i="13"/>
  <c r="Q177" i="13"/>
  <c r="P177" i="13"/>
  <c r="G177" i="13"/>
  <c r="Q176" i="13"/>
  <c r="H176" i="13"/>
  <c r="P176" i="13" s="1"/>
  <c r="G176" i="13"/>
  <c r="Q175" i="13"/>
  <c r="H175" i="13"/>
  <c r="P175" i="13" s="1"/>
  <c r="G175" i="13"/>
  <c r="Q174" i="13"/>
  <c r="H174" i="13"/>
  <c r="P174" i="13" s="1"/>
  <c r="G174" i="13"/>
  <c r="H228" i="13"/>
  <c r="P228" i="13" s="1"/>
  <c r="Q228" i="13" s="1"/>
  <c r="G228" i="13"/>
  <c r="Q173" i="13"/>
  <c r="H173" i="13"/>
  <c r="P173" i="13" s="1"/>
  <c r="G173" i="13"/>
  <c r="H226" i="13"/>
  <c r="P226" i="13" s="1"/>
  <c r="Q226" i="13" s="1"/>
  <c r="G226" i="13"/>
  <c r="Q172" i="13"/>
  <c r="H172" i="13"/>
  <c r="P172" i="13" s="1"/>
  <c r="G172" i="13"/>
  <c r="Q171" i="13"/>
  <c r="H171" i="13"/>
  <c r="P171" i="13" s="1"/>
  <c r="G171" i="13"/>
  <c r="G169" i="13"/>
  <c r="P168" i="13"/>
  <c r="H168" i="13"/>
  <c r="G168" i="13"/>
  <c r="H167" i="13"/>
  <c r="Q167" i="13" s="1"/>
  <c r="G167" i="13"/>
  <c r="G166" i="13"/>
  <c r="G165" i="13"/>
  <c r="P164" i="13"/>
  <c r="G164" i="13"/>
  <c r="G163" i="13"/>
  <c r="H162" i="13"/>
  <c r="Q162" i="13" s="1"/>
  <c r="G162" i="13"/>
  <c r="Q161" i="13"/>
  <c r="P161" i="13"/>
  <c r="G161" i="13"/>
  <c r="Q160" i="13"/>
  <c r="H160" i="13"/>
  <c r="P160" i="13" s="1"/>
  <c r="G160" i="13"/>
  <c r="Q159" i="13"/>
  <c r="H159" i="13"/>
  <c r="P159" i="13" s="1"/>
  <c r="G159" i="13"/>
  <c r="Q158" i="13"/>
  <c r="G158" i="13"/>
  <c r="G157" i="13"/>
  <c r="Q156" i="13"/>
  <c r="H156" i="13"/>
  <c r="P156" i="13" s="1"/>
  <c r="G156" i="13"/>
  <c r="P155" i="13"/>
  <c r="G155" i="13"/>
  <c r="Q154" i="13"/>
  <c r="P154" i="13"/>
  <c r="F154" i="13"/>
  <c r="E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F127" i="13"/>
  <c r="E127" i="13"/>
  <c r="G126" i="13"/>
  <c r="H125" i="13"/>
  <c r="G125" i="13"/>
  <c r="H124" i="13"/>
  <c r="G124" i="13"/>
  <c r="H123" i="13"/>
  <c r="G123" i="13"/>
  <c r="H122" i="13"/>
  <c r="G122" i="13"/>
  <c r="H121" i="13"/>
  <c r="G121" i="13"/>
  <c r="U120" i="13"/>
  <c r="H120" i="13"/>
  <c r="G120" i="13"/>
  <c r="H119" i="13"/>
  <c r="G119" i="13"/>
  <c r="U118" i="13"/>
  <c r="H118" i="13"/>
  <c r="G118" i="13"/>
  <c r="H117" i="13"/>
  <c r="G117" i="13"/>
  <c r="H116" i="13"/>
  <c r="G116" i="13"/>
  <c r="H115" i="13"/>
  <c r="G115" i="13"/>
  <c r="H114" i="13"/>
  <c r="G114" i="13"/>
  <c r="H113" i="13"/>
  <c r="G113" i="13"/>
  <c r="H112" i="13"/>
  <c r="G112" i="13"/>
  <c r="H111" i="13"/>
  <c r="P111" i="13" s="1"/>
  <c r="Q111" i="13" s="1"/>
  <c r="G111" i="13"/>
  <c r="H110" i="13"/>
  <c r="G110" i="13"/>
  <c r="H109" i="13"/>
  <c r="G109" i="13"/>
  <c r="H107" i="13"/>
  <c r="G107" i="13"/>
  <c r="H106" i="13"/>
  <c r="G106" i="13"/>
  <c r="H105" i="13"/>
  <c r="P105" i="13" s="1"/>
  <c r="Q105" i="13" s="1"/>
  <c r="G105" i="13"/>
  <c r="H104" i="13"/>
  <c r="P104" i="13" s="1"/>
  <c r="Q104" i="13" s="1"/>
  <c r="G104" i="13"/>
  <c r="H103" i="13"/>
  <c r="P103" i="13" s="1"/>
  <c r="Q103" i="13" s="1"/>
  <c r="G103" i="13"/>
  <c r="H102" i="13"/>
  <c r="G102" i="13"/>
  <c r="Q101" i="13"/>
  <c r="P101" i="13"/>
  <c r="F101" i="13"/>
  <c r="E101" i="13"/>
  <c r="G100" i="13"/>
  <c r="H99" i="13"/>
  <c r="G99" i="13"/>
  <c r="U98" i="13"/>
  <c r="H98" i="13"/>
  <c r="G98" i="13"/>
  <c r="H97" i="13"/>
  <c r="G97" i="13"/>
  <c r="H96" i="13"/>
  <c r="G96" i="13"/>
  <c r="H95" i="13"/>
  <c r="G95" i="13"/>
  <c r="H93" i="13"/>
  <c r="P93" i="13" s="1"/>
  <c r="Q93" i="13" s="1"/>
  <c r="G93" i="13"/>
  <c r="H92" i="13"/>
  <c r="Q92" i="13" s="1"/>
  <c r="G92" i="13"/>
  <c r="H91" i="13"/>
  <c r="P91" i="13" s="1"/>
  <c r="G91" i="13"/>
  <c r="H90" i="13"/>
  <c r="Q90" i="13" s="1"/>
  <c r="G90" i="13"/>
  <c r="H89" i="13"/>
  <c r="P89" i="13" s="1"/>
  <c r="G89" i="13"/>
  <c r="H87" i="13"/>
  <c r="G87" i="13"/>
  <c r="H86" i="13"/>
  <c r="G86" i="13"/>
  <c r="H85" i="13"/>
  <c r="G85" i="13"/>
  <c r="H84" i="13"/>
  <c r="G84" i="13"/>
  <c r="H83" i="13"/>
  <c r="G83" i="13"/>
  <c r="H82" i="13"/>
  <c r="G82" i="13"/>
  <c r="H81" i="13"/>
  <c r="G81" i="13"/>
  <c r="H80" i="13"/>
  <c r="G80" i="13"/>
  <c r="H79" i="13"/>
  <c r="G79" i="13"/>
  <c r="P78" i="13"/>
  <c r="E78" i="13"/>
  <c r="G69" i="13"/>
  <c r="G68" i="13"/>
  <c r="G67" i="13"/>
  <c r="Q66" i="13"/>
  <c r="Q65" i="13" s="1"/>
  <c r="P66" i="13"/>
  <c r="P65" i="13" s="1"/>
  <c r="H66" i="13"/>
  <c r="H65" i="13" s="1"/>
  <c r="G66" i="13"/>
  <c r="F65" i="13"/>
  <c r="E65" i="13"/>
  <c r="G63" i="13"/>
  <c r="H62" i="13"/>
  <c r="G62" i="13"/>
  <c r="G61" i="13"/>
  <c r="G60" i="13"/>
  <c r="G59" i="13"/>
  <c r="G58" i="13"/>
  <c r="Q57" i="13"/>
  <c r="P57" i="13"/>
  <c r="H57" i="13"/>
  <c r="G57" i="13"/>
  <c r="H56" i="13"/>
  <c r="G56" i="13"/>
  <c r="Q55" i="13"/>
  <c r="P55" i="13"/>
  <c r="H55" i="13"/>
  <c r="G55" i="13"/>
  <c r="G54" i="13"/>
  <c r="H53" i="13"/>
  <c r="G53" i="13"/>
  <c r="H52" i="13"/>
  <c r="G52" i="13"/>
  <c r="G51" i="13"/>
  <c r="H50" i="13"/>
  <c r="P50" i="13" s="1"/>
  <c r="Q50" i="13" s="1"/>
  <c r="G50" i="13"/>
  <c r="G49" i="13"/>
  <c r="H48" i="13"/>
  <c r="G48" i="13"/>
  <c r="Q47" i="13"/>
  <c r="P47" i="13"/>
  <c r="H47" i="13"/>
  <c r="G47" i="13"/>
  <c r="F46" i="13"/>
  <c r="E46" i="13"/>
  <c r="G45" i="13"/>
  <c r="G44" i="13"/>
  <c r="Q43" i="13"/>
  <c r="Q42" i="13" s="1"/>
  <c r="P43" i="13"/>
  <c r="P42" i="13" s="1"/>
  <c r="H43" i="13"/>
  <c r="H42" i="13" s="1"/>
  <c r="G43" i="13"/>
  <c r="F42" i="13"/>
  <c r="E42" i="13"/>
  <c r="Q38" i="13"/>
  <c r="P38" i="13"/>
  <c r="J38" i="13"/>
  <c r="H38" i="13"/>
  <c r="G37" i="13"/>
  <c r="Q36" i="13"/>
  <c r="P36" i="13"/>
  <c r="H36" i="13"/>
  <c r="F36" i="13"/>
  <c r="E36" i="13"/>
  <c r="G35" i="13"/>
  <c r="G34" i="13"/>
  <c r="G33" i="13"/>
  <c r="G32" i="13"/>
  <c r="G31" i="13"/>
  <c r="G30" i="13"/>
  <c r="Q29" i="13"/>
  <c r="P29" i="13"/>
  <c r="H29" i="13"/>
  <c r="F29" i="13"/>
  <c r="E29" i="13"/>
  <c r="G28" i="13"/>
  <c r="G27" i="13"/>
  <c r="G26" i="13"/>
  <c r="Q25" i="13"/>
  <c r="P25" i="13"/>
  <c r="H25" i="13"/>
  <c r="F25" i="13"/>
  <c r="E25" i="13"/>
  <c r="G24" i="13"/>
  <c r="G23" i="13"/>
  <c r="Q22" i="13"/>
  <c r="P22" i="13"/>
  <c r="H22" i="13"/>
  <c r="F22" i="13"/>
  <c r="E22" i="13"/>
  <c r="G21" i="13"/>
  <c r="G20" i="13"/>
  <c r="G19" i="13"/>
  <c r="G18" i="13"/>
  <c r="G17" i="13"/>
  <c r="G16" i="13"/>
  <c r="G15" i="13"/>
  <c r="G14" i="13"/>
  <c r="G13" i="13"/>
  <c r="G12" i="13"/>
  <c r="G11" i="13"/>
  <c r="G10" i="13"/>
  <c r="Q9" i="13"/>
  <c r="P9" i="13"/>
  <c r="H9" i="13"/>
  <c r="F9" i="13"/>
  <c r="E9" i="13"/>
  <c r="G8" i="13"/>
  <c r="G7" i="13"/>
  <c r="G6" i="13"/>
  <c r="G5" i="13"/>
  <c r="Q4" i="13"/>
  <c r="P4" i="13"/>
  <c r="H4" i="13"/>
  <c r="H3" i="13" s="1"/>
  <c r="B4" i="13"/>
  <c r="B5" i="13" s="1"/>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9" i="13" s="1"/>
  <c r="B40" i="13" s="1"/>
  <c r="B41" i="13" s="1"/>
  <c r="B47" i="13" s="1"/>
  <c r="B48" i="13" s="1"/>
  <c r="B49" i="13" s="1"/>
  <c r="B50" i="13" s="1"/>
  <c r="B51" i="13" s="1"/>
  <c r="B52" i="13" s="1"/>
  <c r="B53" i="13" s="1"/>
  <c r="B54" i="13" s="1"/>
  <c r="B55" i="13" s="1"/>
  <c r="B56" i="13" s="1"/>
  <c r="B57" i="13" s="1"/>
  <c r="B58" i="13" s="1"/>
  <c r="B59" i="13" s="1"/>
  <c r="B43" i="13" s="1"/>
  <c r="B62" i="13" s="1"/>
  <c r="B60" i="13" s="1"/>
  <c r="B61" i="13" s="1"/>
  <c r="B65" i="13" s="1"/>
  <c r="B66" i="13" s="1"/>
  <c r="B67" i="13" s="1"/>
  <c r="B68" i="13" s="1"/>
  <c r="B72" i="13" s="1"/>
  <c r="B73" i="13" s="1"/>
  <c r="B74" i="13" s="1"/>
  <c r="B75" i="13" s="1"/>
  <c r="B76" i="13" s="1"/>
  <c r="B77" i="13" s="1"/>
  <c r="B78" i="13" s="1"/>
  <c r="B79" i="13" s="1"/>
  <c r="B80" i="13" s="1"/>
  <c r="B81" i="13" s="1"/>
  <c r="B82" i="13" s="1"/>
  <c r="B83" i="13" s="1"/>
  <c r="B84" i="13" s="1"/>
  <c r="B85" i="13" s="1"/>
  <c r="B86" i="13" s="1"/>
  <c r="B87" i="13" s="1"/>
  <c r="D554" i="12"/>
  <c r="D556" i="12" s="1"/>
  <c r="G553" i="12"/>
  <c r="G552" i="12"/>
  <c r="G551" i="12"/>
  <c r="G550" i="12"/>
  <c r="G549" i="12"/>
  <c r="G548" i="12"/>
  <c r="G547" i="12"/>
  <c r="O546" i="12"/>
  <c r="N546" i="12"/>
  <c r="H546" i="12"/>
  <c r="G546" i="12"/>
  <c r="F545" i="12"/>
  <c r="E545" i="12"/>
  <c r="G544" i="12"/>
  <c r="G543" i="12"/>
  <c r="O542" i="12"/>
  <c r="O554" i="12" s="1"/>
  <c r="N542" i="12"/>
  <c r="N554" i="12" s="1"/>
  <c r="H542" i="12"/>
  <c r="H554" i="12" s="1"/>
  <c r="F542" i="12"/>
  <c r="E542" i="12"/>
  <c r="D542" i="12"/>
  <c r="H537" i="12"/>
  <c r="O534" i="12"/>
  <c r="O537" i="12" s="1"/>
  <c r="N534" i="12"/>
  <c r="N537" i="12" s="1"/>
  <c r="H534" i="12"/>
  <c r="O533" i="12"/>
  <c r="N533" i="12"/>
  <c r="H533" i="12"/>
  <c r="G533" i="12"/>
  <c r="F532" i="12"/>
  <c r="F534" i="12" s="1"/>
  <c r="E532" i="12"/>
  <c r="E534" i="12" s="1"/>
  <c r="E537" i="12" s="1"/>
  <c r="O521" i="12"/>
  <c r="N521" i="12"/>
  <c r="H521" i="12"/>
  <c r="O520" i="12"/>
  <c r="N520" i="12"/>
  <c r="G520" i="12"/>
  <c r="G519" i="12"/>
  <c r="O518" i="12"/>
  <c r="N518" i="12"/>
  <c r="G518" i="12"/>
  <c r="F517" i="12"/>
  <c r="F521" i="12" s="1"/>
  <c r="E517" i="12"/>
  <c r="H512" i="12"/>
  <c r="H510" i="12" s="1"/>
  <c r="H513" i="12" s="1"/>
  <c r="H514" i="12" s="1"/>
  <c r="G512" i="12"/>
  <c r="N511" i="12"/>
  <c r="O511" i="12" s="1"/>
  <c r="O510" i="12" s="1"/>
  <c r="O513" i="12" s="1"/>
  <c r="O514" i="12" s="1"/>
  <c r="O524" i="12" s="1"/>
  <c r="G511" i="12"/>
  <c r="F510" i="12"/>
  <c r="F513" i="12" s="1"/>
  <c r="E510" i="12"/>
  <c r="E513" i="12" s="1"/>
  <c r="E514" i="12" s="1"/>
  <c r="O500" i="12"/>
  <c r="N500" i="12"/>
  <c r="H500" i="12"/>
  <c r="H499" i="12"/>
  <c r="G499" i="12"/>
  <c r="H498" i="12"/>
  <c r="G498" i="12"/>
  <c r="H497" i="12"/>
  <c r="G497" i="12"/>
  <c r="H496" i="12"/>
  <c r="G496" i="12"/>
  <c r="G495" i="12"/>
  <c r="H494" i="12"/>
  <c r="G494" i="12"/>
  <c r="H493" i="12"/>
  <c r="G493" i="12"/>
  <c r="G492" i="12"/>
  <c r="H491" i="12"/>
  <c r="G491" i="12"/>
  <c r="O490" i="12"/>
  <c r="N490" i="12"/>
  <c r="F490" i="12"/>
  <c r="G490" i="12" s="1"/>
  <c r="E490" i="12"/>
  <c r="H489" i="12"/>
  <c r="G489" i="12"/>
  <c r="H488" i="12"/>
  <c r="G488" i="12"/>
  <c r="H487" i="12"/>
  <c r="G487" i="12"/>
  <c r="G486" i="12"/>
  <c r="G485" i="12"/>
  <c r="H484" i="12"/>
  <c r="G484" i="12"/>
  <c r="H483" i="12"/>
  <c r="G483" i="12"/>
  <c r="H482" i="12"/>
  <c r="G482" i="12"/>
  <c r="H481" i="12"/>
  <c r="G481" i="12"/>
  <c r="H480" i="12"/>
  <c r="G480" i="12"/>
  <c r="H479" i="12"/>
  <c r="G479" i="12"/>
  <c r="H478" i="12"/>
  <c r="G478" i="12"/>
  <c r="H477" i="12"/>
  <c r="G477" i="12"/>
  <c r="H476" i="12"/>
  <c r="G476" i="12"/>
  <c r="H475" i="12"/>
  <c r="G475" i="12"/>
  <c r="H474" i="12"/>
  <c r="G474" i="12"/>
  <c r="S473" i="12"/>
  <c r="H473" i="12"/>
  <c r="G473" i="12"/>
  <c r="H472" i="12"/>
  <c r="G472" i="12"/>
  <c r="H471" i="12"/>
  <c r="G471" i="12"/>
  <c r="H470" i="12"/>
  <c r="G470" i="12"/>
  <c r="H469" i="12"/>
  <c r="G469" i="12"/>
  <c r="H468" i="12"/>
  <c r="G468" i="12"/>
  <c r="H467" i="12"/>
  <c r="G467" i="12"/>
  <c r="H466" i="12"/>
  <c r="G466" i="12"/>
  <c r="H465" i="12"/>
  <c r="G465" i="12"/>
  <c r="H464" i="12"/>
  <c r="G464" i="12"/>
  <c r="H463" i="12"/>
  <c r="G463" i="12"/>
  <c r="G462" i="12"/>
  <c r="H461" i="12"/>
  <c r="G461" i="12"/>
  <c r="O460" i="12"/>
  <c r="O459" i="12" s="1"/>
  <c r="N460" i="12"/>
  <c r="F460" i="12"/>
  <c r="G460" i="12" s="1"/>
  <c r="E460" i="12"/>
  <c r="G458" i="12"/>
  <c r="G457" i="12"/>
  <c r="G456" i="12"/>
  <c r="O455" i="12"/>
  <c r="N455" i="12"/>
  <c r="M455" i="12"/>
  <c r="L455" i="12"/>
  <c r="K455" i="12"/>
  <c r="J455" i="12"/>
  <c r="I455" i="12"/>
  <c r="H455" i="12"/>
  <c r="F455" i="12"/>
  <c r="E455" i="12"/>
  <c r="G454" i="12"/>
  <c r="G453" i="12"/>
  <c r="G452" i="12"/>
  <c r="O451" i="12"/>
  <c r="O450" i="12" s="1"/>
  <c r="N451" i="12"/>
  <c r="H451" i="12"/>
  <c r="H450" i="12" s="1"/>
  <c r="F451" i="12"/>
  <c r="E451" i="12"/>
  <c r="E450" i="12" s="1"/>
  <c r="H448" i="12"/>
  <c r="G448" i="12"/>
  <c r="G447" i="12"/>
  <c r="O445" i="12"/>
  <c r="N445" i="12"/>
  <c r="H445" i="12"/>
  <c r="F445" i="12"/>
  <c r="E445" i="12"/>
  <c r="G445" i="12" s="1"/>
  <c r="O438" i="12"/>
  <c r="N438" i="12"/>
  <c r="H438" i="12"/>
  <c r="O437" i="12"/>
  <c r="N437" i="12"/>
  <c r="G437" i="12"/>
  <c r="O436" i="12"/>
  <c r="N436" i="12"/>
  <c r="G436" i="12"/>
  <c r="O435" i="12"/>
  <c r="N435" i="12"/>
  <c r="G435" i="12"/>
  <c r="O434" i="12"/>
  <c r="N434" i="12"/>
  <c r="H434" i="12"/>
  <c r="F434" i="12"/>
  <c r="E434" i="12"/>
  <c r="G434" i="12" s="1"/>
  <c r="G433" i="12"/>
  <c r="O432" i="12"/>
  <c r="N432" i="12"/>
  <c r="G432" i="12"/>
  <c r="O431" i="12"/>
  <c r="N431" i="12"/>
  <c r="G431" i="12"/>
  <c r="O430" i="12"/>
  <c r="N430" i="12"/>
  <c r="G430" i="12"/>
  <c r="O429" i="12"/>
  <c r="N429" i="12"/>
  <c r="G429" i="12"/>
  <c r="O428" i="12"/>
  <c r="N428" i="12"/>
  <c r="G428" i="12"/>
  <c r="O427" i="12"/>
  <c r="N427" i="12"/>
  <c r="G427" i="12"/>
  <c r="O426" i="12"/>
  <c r="N426" i="12"/>
  <c r="G426" i="12"/>
  <c r="O425" i="12"/>
  <c r="N425" i="12"/>
  <c r="G425" i="12"/>
  <c r="O424" i="12"/>
  <c r="N424" i="12"/>
  <c r="G424" i="12"/>
  <c r="O423" i="12"/>
  <c r="N423" i="12"/>
  <c r="G423" i="12"/>
  <c r="O422" i="12"/>
  <c r="N422" i="12"/>
  <c r="G422" i="12"/>
  <c r="O421" i="12"/>
  <c r="N421" i="12"/>
  <c r="G421" i="12"/>
  <c r="O420" i="12"/>
  <c r="N420" i="12"/>
  <c r="G420" i="12"/>
  <c r="O419" i="12"/>
  <c r="N419" i="12"/>
  <c r="G419" i="12"/>
  <c r="O418" i="12"/>
  <c r="N418" i="12"/>
  <c r="G418" i="12"/>
  <c r="O417" i="12"/>
  <c r="N417" i="12"/>
  <c r="G417" i="12"/>
  <c r="O416" i="12"/>
  <c r="N416" i="12"/>
  <c r="G416" i="12"/>
  <c r="O415" i="12"/>
  <c r="N415" i="12"/>
  <c r="G415" i="12"/>
  <c r="O414" i="12"/>
  <c r="N414" i="12"/>
  <c r="N413" i="12" s="1"/>
  <c r="H414" i="12"/>
  <c r="F414" i="12"/>
  <c r="F413" i="12" s="1"/>
  <c r="E414" i="12"/>
  <c r="H413" i="12"/>
  <c r="O411" i="12"/>
  <c r="N411" i="12"/>
  <c r="G411" i="12"/>
  <c r="O410" i="12"/>
  <c r="N410" i="12"/>
  <c r="G410" i="12"/>
  <c r="O409" i="12"/>
  <c r="N409" i="12"/>
  <c r="H409" i="12"/>
  <c r="F409" i="12"/>
  <c r="G409" i="12" s="1"/>
  <c r="E409" i="12"/>
  <c r="O408" i="12"/>
  <c r="N408" i="12"/>
  <c r="G408" i="12"/>
  <c r="G407" i="12"/>
  <c r="O406" i="12"/>
  <c r="N406" i="12"/>
  <c r="G406" i="12"/>
  <c r="G405" i="12"/>
  <c r="O404" i="12"/>
  <c r="N404" i="12"/>
  <c r="H404" i="12"/>
  <c r="F404" i="12"/>
  <c r="E404" i="12"/>
  <c r="H395" i="12"/>
  <c r="G395" i="12"/>
  <c r="H394" i="12"/>
  <c r="G394" i="12"/>
  <c r="O393" i="12"/>
  <c r="N393" i="12"/>
  <c r="F393" i="12"/>
  <c r="G393" i="12" s="1"/>
  <c r="E393" i="12"/>
  <c r="H392" i="12"/>
  <c r="G392" i="12"/>
  <c r="H391" i="12"/>
  <c r="H390" i="12" s="1"/>
  <c r="G391" i="12"/>
  <c r="O390" i="12"/>
  <c r="N390" i="12"/>
  <c r="N389" i="12" s="1"/>
  <c r="F390" i="12"/>
  <c r="F389" i="12" s="1"/>
  <c r="G389" i="12" s="1"/>
  <c r="E390" i="12"/>
  <c r="E389" i="12" s="1"/>
  <c r="O389" i="12"/>
  <c r="H386" i="12"/>
  <c r="H385" i="12" s="1"/>
  <c r="G386" i="12"/>
  <c r="O385" i="12"/>
  <c r="N385" i="12"/>
  <c r="F385" i="12"/>
  <c r="F382" i="12" s="1"/>
  <c r="E385" i="12"/>
  <c r="H384" i="12"/>
  <c r="H383" i="12" s="1"/>
  <c r="G384" i="12"/>
  <c r="O383" i="12"/>
  <c r="N383" i="12"/>
  <c r="F383" i="12"/>
  <c r="E383" i="12"/>
  <c r="O382" i="12"/>
  <c r="G379" i="12"/>
  <c r="G378" i="12"/>
  <c r="H377" i="12"/>
  <c r="G377" i="12"/>
  <c r="H376" i="12"/>
  <c r="G376" i="12"/>
  <c r="H375" i="12"/>
  <c r="G375" i="12"/>
  <c r="O374" i="12"/>
  <c r="N374" i="12"/>
  <c r="F374" i="12"/>
  <c r="E374" i="12"/>
  <c r="G373" i="12"/>
  <c r="G372" i="12"/>
  <c r="H371" i="12"/>
  <c r="G371" i="12"/>
  <c r="H370" i="12"/>
  <c r="G370" i="12"/>
  <c r="H369" i="12"/>
  <c r="G369" i="12"/>
  <c r="O368" i="12"/>
  <c r="O367" i="12" s="1"/>
  <c r="N368" i="12"/>
  <c r="N367" i="12" s="1"/>
  <c r="F368" i="12"/>
  <c r="F367" i="12" s="1"/>
  <c r="E368" i="12"/>
  <c r="E367" i="12" s="1"/>
  <c r="O365" i="12"/>
  <c r="O399" i="12" s="1"/>
  <c r="N365" i="12"/>
  <c r="N399" i="12" s="1"/>
  <c r="H365" i="12"/>
  <c r="H399" i="12" s="1"/>
  <c r="O364" i="12"/>
  <c r="N364" i="12"/>
  <c r="N361" i="12" s="1"/>
  <c r="H364" i="12"/>
  <c r="O362" i="12"/>
  <c r="O361" i="12" s="1"/>
  <c r="O398" i="12" s="1"/>
  <c r="N362" i="12"/>
  <c r="H362" i="12"/>
  <c r="G362" i="12"/>
  <c r="F361" i="12"/>
  <c r="E361" i="12"/>
  <c r="O359" i="12"/>
  <c r="O357" i="12" s="1"/>
  <c r="N359" i="12"/>
  <c r="H359" i="12"/>
  <c r="O358" i="12"/>
  <c r="N358" i="12"/>
  <c r="N357" i="12" s="1"/>
  <c r="H358" i="12"/>
  <c r="H357" i="12" s="1"/>
  <c r="G358" i="12"/>
  <c r="F357" i="12"/>
  <c r="E357" i="12"/>
  <c r="E397" i="12" s="1"/>
  <c r="O355" i="12"/>
  <c r="N355" i="12"/>
  <c r="H355" i="12"/>
  <c r="O354" i="12"/>
  <c r="N354" i="12"/>
  <c r="N353" i="12" s="1"/>
  <c r="H354" i="12"/>
  <c r="H353" i="12"/>
  <c r="G351" i="12"/>
  <c r="H350" i="12"/>
  <c r="G350" i="12"/>
  <c r="H349" i="12"/>
  <c r="G349" i="12"/>
  <c r="H348" i="12"/>
  <c r="G348" i="12"/>
  <c r="H347" i="12"/>
  <c r="G347" i="12"/>
  <c r="H346" i="12"/>
  <c r="G346" i="12"/>
  <c r="H345" i="12"/>
  <c r="H343" i="12" s="1"/>
  <c r="G345" i="12"/>
  <c r="H344" i="12"/>
  <c r="G344" i="12"/>
  <c r="O343" i="12"/>
  <c r="N343" i="12"/>
  <c r="F343" i="12"/>
  <c r="E343" i="12"/>
  <c r="O340" i="12"/>
  <c r="N340" i="12"/>
  <c r="H340" i="12"/>
  <c r="O339" i="12"/>
  <c r="N339" i="12"/>
  <c r="H339" i="12"/>
  <c r="G338" i="12"/>
  <c r="O337" i="12"/>
  <c r="N337" i="12"/>
  <c r="I335" i="12" s="1"/>
  <c r="H337" i="12"/>
  <c r="G337" i="12"/>
  <c r="S336" i="12"/>
  <c r="O336" i="12"/>
  <c r="N336" i="12"/>
  <c r="H336" i="12"/>
  <c r="G336" i="12"/>
  <c r="N335" i="12"/>
  <c r="F335" i="12"/>
  <c r="E335" i="12"/>
  <c r="E334" i="12" s="1"/>
  <c r="F334" i="12"/>
  <c r="O333" i="12"/>
  <c r="N333" i="12"/>
  <c r="H333" i="12"/>
  <c r="O332" i="12"/>
  <c r="N332" i="12"/>
  <c r="H332" i="12"/>
  <c r="O331" i="12"/>
  <c r="N331" i="12"/>
  <c r="H331" i="12"/>
  <c r="O330" i="12"/>
  <c r="N330" i="12"/>
  <c r="H330" i="12"/>
  <c r="O329" i="12"/>
  <c r="N329" i="12"/>
  <c r="H329" i="12"/>
  <c r="O328" i="12"/>
  <c r="N328" i="12"/>
  <c r="H328" i="12"/>
  <c r="O326" i="12"/>
  <c r="N326" i="12"/>
  <c r="I326" i="12"/>
  <c r="F326" i="12"/>
  <c r="E326" i="12"/>
  <c r="H325" i="12"/>
  <c r="G325" i="12"/>
  <c r="H324" i="12"/>
  <c r="G324" i="12"/>
  <c r="H323" i="12"/>
  <c r="G323" i="12"/>
  <c r="H322" i="12"/>
  <c r="G322" i="12"/>
  <c r="H321" i="12"/>
  <c r="G321" i="12"/>
  <c r="H320" i="12"/>
  <c r="G320" i="12"/>
  <c r="H319" i="12"/>
  <c r="G319" i="12"/>
  <c r="H318" i="12"/>
  <c r="G318" i="12"/>
  <c r="H317" i="12"/>
  <c r="G317" i="12"/>
  <c r="H316" i="12"/>
  <c r="G316" i="12"/>
  <c r="H315" i="12"/>
  <c r="G315" i="12"/>
  <c r="H314" i="12"/>
  <c r="G314" i="12"/>
  <c r="H313" i="12"/>
  <c r="G313" i="12"/>
  <c r="H312" i="12"/>
  <c r="G312" i="12"/>
  <c r="H311" i="12"/>
  <c r="G311" i="12"/>
  <c r="G310" i="12"/>
  <c r="H309" i="12"/>
  <c r="G309" i="12"/>
  <c r="H308" i="12"/>
  <c r="G308" i="12"/>
  <c r="H307" i="12"/>
  <c r="G307" i="12"/>
  <c r="H306" i="12"/>
  <c r="G306" i="12"/>
  <c r="H305" i="12"/>
  <c r="G305" i="12"/>
  <c r="H304" i="12"/>
  <c r="G304" i="12"/>
  <c r="H303" i="12"/>
  <c r="G303" i="12"/>
  <c r="H302" i="12"/>
  <c r="G302" i="12"/>
  <c r="H301" i="12"/>
  <c r="G301" i="12"/>
  <c r="H300" i="12"/>
  <c r="G300" i="12"/>
  <c r="H299" i="12"/>
  <c r="G299" i="12"/>
  <c r="A299" i="12"/>
  <c r="F298" i="12"/>
  <c r="E298" i="12"/>
  <c r="O297" i="12"/>
  <c r="N297" i="12"/>
  <c r="H297" i="12"/>
  <c r="G297" i="12"/>
  <c r="O296" i="12"/>
  <c r="N296" i="12"/>
  <c r="H296" i="12"/>
  <c r="G296" i="12"/>
  <c r="G295" i="12"/>
  <c r="O294" i="12"/>
  <c r="N294" i="12"/>
  <c r="H294" i="12"/>
  <c r="G294" i="12"/>
  <c r="O293" i="12"/>
  <c r="N293" i="12"/>
  <c r="H293" i="12"/>
  <c r="G293" i="12"/>
  <c r="O292" i="12"/>
  <c r="N292" i="12"/>
  <c r="H292" i="12"/>
  <c r="H298" i="12" s="1"/>
  <c r="G292" i="12"/>
  <c r="N291" i="12"/>
  <c r="F291" i="12"/>
  <c r="E291" i="12"/>
  <c r="H290" i="12"/>
  <c r="G289" i="12"/>
  <c r="G288" i="12"/>
  <c r="G287" i="12"/>
  <c r="G286" i="12"/>
  <c r="G285" i="12"/>
  <c r="G284" i="12"/>
  <c r="G283" i="12"/>
  <c r="G282" i="12"/>
  <c r="G281" i="12"/>
  <c r="G280" i="12"/>
  <c r="G279" i="12"/>
  <c r="G278" i="12"/>
  <c r="G277" i="12"/>
  <c r="G276" i="12"/>
  <c r="G275" i="12"/>
  <c r="G274" i="12"/>
  <c r="G273" i="12"/>
  <c r="G272" i="12"/>
  <c r="O271" i="12"/>
  <c r="H271" i="12"/>
  <c r="G271" i="12"/>
  <c r="O270" i="12"/>
  <c r="H270" i="12"/>
  <c r="G270" i="12"/>
  <c r="G269" i="12"/>
  <c r="G268" i="12"/>
  <c r="O267" i="12"/>
  <c r="H267" i="12"/>
  <c r="G267" i="12"/>
  <c r="O266" i="12"/>
  <c r="H266" i="12"/>
  <c r="G266" i="12"/>
  <c r="O265" i="12"/>
  <c r="H265" i="12"/>
  <c r="G265" i="12"/>
  <c r="G264" i="12"/>
  <c r="G263" i="12"/>
  <c r="G262" i="12"/>
  <c r="G261" i="12"/>
  <c r="G260" i="12"/>
  <c r="G259" i="12"/>
  <c r="G258" i="12"/>
  <c r="G257" i="12"/>
  <c r="G256" i="12"/>
  <c r="O255" i="12"/>
  <c r="N255" i="12"/>
  <c r="F255" i="12"/>
  <c r="E255" i="12"/>
  <c r="H254" i="12"/>
  <c r="G254" i="12"/>
  <c r="G253" i="12"/>
  <c r="H252" i="12"/>
  <c r="G252" i="12"/>
  <c r="H251" i="12"/>
  <c r="G251" i="12"/>
  <c r="G250" i="12"/>
  <c r="G249" i="12"/>
  <c r="G248" i="12"/>
  <c r="H247" i="12"/>
  <c r="G247" i="12"/>
  <c r="H246" i="12"/>
  <c r="G246" i="12"/>
  <c r="H245" i="12"/>
  <c r="G245" i="12"/>
  <c r="H244" i="12"/>
  <c r="G244" i="12"/>
  <c r="H243" i="12"/>
  <c r="G243" i="12"/>
  <c r="H242" i="12"/>
  <c r="G242" i="12"/>
  <c r="H241" i="12"/>
  <c r="G241" i="12"/>
  <c r="G240" i="12"/>
  <c r="H239" i="12"/>
  <c r="G239" i="12"/>
  <c r="G238" i="12"/>
  <c r="F237" i="12"/>
  <c r="E237" i="12"/>
  <c r="H236" i="12"/>
  <c r="H237" i="12" s="1"/>
  <c r="G236" i="12"/>
  <c r="D235" i="12"/>
  <c r="F234" i="12"/>
  <c r="G234" i="12" s="1"/>
  <c r="E234" i="12"/>
  <c r="O233" i="12"/>
  <c r="H233" i="12"/>
  <c r="N233" i="12" s="1"/>
  <c r="G233" i="12"/>
  <c r="O232" i="12"/>
  <c r="N232" i="12"/>
  <c r="G232" i="12"/>
  <c r="H231" i="12"/>
  <c r="G231" i="12"/>
  <c r="S230" i="12"/>
  <c r="H230" i="12"/>
  <c r="N230" i="12" s="1"/>
  <c r="G230" i="12"/>
  <c r="H229" i="12"/>
  <c r="N229" i="12" s="1"/>
  <c r="G229" i="12"/>
  <c r="H228" i="12"/>
  <c r="N228" i="12" s="1"/>
  <c r="G228" i="12"/>
  <c r="G227" i="12"/>
  <c r="N226" i="12"/>
  <c r="H226" i="12"/>
  <c r="O226" i="12" s="1"/>
  <c r="G226" i="12"/>
  <c r="G225" i="12"/>
  <c r="S224" i="12"/>
  <c r="H224" i="12"/>
  <c r="G224" i="12"/>
  <c r="S223" i="12"/>
  <c r="H223" i="12"/>
  <c r="N223" i="12" s="1"/>
  <c r="G223" i="12"/>
  <c r="H222" i="12"/>
  <c r="O222" i="12" s="1"/>
  <c r="G222" i="12"/>
  <c r="G221" i="12"/>
  <c r="O220" i="12"/>
  <c r="H219" i="12"/>
  <c r="O219" i="12" s="1"/>
  <c r="G219" i="12"/>
  <c r="H218" i="12"/>
  <c r="G218" i="12"/>
  <c r="H217" i="12"/>
  <c r="O217" i="12" s="1"/>
  <c r="G217" i="12"/>
  <c r="H216" i="12"/>
  <c r="N216" i="12" s="1"/>
  <c r="G216" i="12"/>
  <c r="H215" i="12"/>
  <c r="O215" i="12" s="1"/>
  <c r="G215" i="12"/>
  <c r="O214" i="12"/>
  <c r="N214" i="12"/>
  <c r="G214" i="12"/>
  <c r="O213" i="12"/>
  <c r="N213" i="12"/>
  <c r="H213" i="12"/>
  <c r="G213" i="12"/>
  <c r="H212" i="12"/>
  <c r="O212" i="12" s="1"/>
  <c r="G212" i="12"/>
  <c r="H211" i="12"/>
  <c r="N211" i="12" s="1"/>
  <c r="G211" i="12"/>
  <c r="H210" i="12"/>
  <c r="O210" i="12" s="1"/>
  <c r="G210" i="12"/>
  <c r="O209" i="12"/>
  <c r="N209" i="12"/>
  <c r="H209" i="12"/>
  <c r="G209" i="12"/>
  <c r="O208" i="12"/>
  <c r="N208" i="12"/>
  <c r="H208" i="12"/>
  <c r="G208" i="12"/>
  <c r="H207" i="12"/>
  <c r="N207" i="12" s="1"/>
  <c r="G207" i="12"/>
  <c r="H206" i="12"/>
  <c r="O206" i="12" s="1"/>
  <c r="G206" i="12"/>
  <c r="G205" i="12"/>
  <c r="H204" i="12"/>
  <c r="N204" i="12" s="1"/>
  <c r="G204" i="12"/>
  <c r="S203" i="12"/>
  <c r="O203" i="12"/>
  <c r="N203" i="12"/>
  <c r="J203" i="12"/>
  <c r="G203" i="12"/>
  <c r="S202" i="12"/>
  <c r="H202" i="12"/>
  <c r="N202" i="12" s="1"/>
  <c r="G202" i="12"/>
  <c r="O201" i="12"/>
  <c r="N201" i="12"/>
  <c r="G201" i="12"/>
  <c r="O200" i="12"/>
  <c r="N200" i="12"/>
  <c r="G200" i="12"/>
  <c r="O199" i="12"/>
  <c r="N199" i="12"/>
  <c r="H199" i="12"/>
  <c r="G199" i="12"/>
  <c r="O198" i="12"/>
  <c r="N198" i="12"/>
  <c r="H198" i="12"/>
  <c r="G198" i="12"/>
  <c r="H197" i="12"/>
  <c r="O197" i="12" s="1"/>
  <c r="G197" i="12"/>
  <c r="H196" i="12"/>
  <c r="N196" i="12" s="1"/>
  <c r="G196" i="12"/>
  <c r="H195" i="12"/>
  <c r="G195" i="12"/>
  <c r="H194" i="12"/>
  <c r="O194" i="12" s="1"/>
  <c r="G194" i="12"/>
  <c r="H193" i="12"/>
  <c r="O193" i="12" s="1"/>
  <c r="G193" i="12"/>
  <c r="F192" i="12"/>
  <c r="E192" i="12"/>
  <c r="O188" i="12"/>
  <c r="N188" i="12"/>
  <c r="G188" i="12"/>
  <c r="O187" i="12"/>
  <c r="N187" i="12"/>
  <c r="G187" i="12"/>
  <c r="O186" i="12"/>
  <c r="H186" i="12"/>
  <c r="N186" i="12" s="1"/>
  <c r="G186" i="12"/>
  <c r="O185" i="12"/>
  <c r="H185" i="12"/>
  <c r="N185" i="12" s="1"/>
  <c r="G185" i="12"/>
  <c r="O184" i="12"/>
  <c r="H184" i="12"/>
  <c r="N184" i="12" s="1"/>
  <c r="G184" i="12"/>
  <c r="H183" i="12"/>
  <c r="N183" i="12" s="1"/>
  <c r="O183" i="12" s="1"/>
  <c r="G183" i="12"/>
  <c r="O182" i="12"/>
  <c r="H182" i="12"/>
  <c r="N182" i="12" s="1"/>
  <c r="G182" i="12"/>
  <c r="H181" i="12"/>
  <c r="N181" i="12" s="1"/>
  <c r="O181" i="12" s="1"/>
  <c r="G181" i="12"/>
  <c r="O180" i="12"/>
  <c r="H180" i="12"/>
  <c r="N180" i="12" s="1"/>
  <c r="G180" i="12"/>
  <c r="O179" i="12"/>
  <c r="H179" i="12"/>
  <c r="N179" i="12" s="1"/>
  <c r="G179" i="12"/>
  <c r="G177" i="12"/>
  <c r="N176" i="12"/>
  <c r="H176" i="12"/>
  <c r="G176" i="12"/>
  <c r="H175" i="12"/>
  <c r="G175" i="12"/>
  <c r="G174" i="12"/>
  <c r="G173" i="12"/>
  <c r="N172" i="12"/>
  <c r="G172" i="12"/>
  <c r="G171" i="12"/>
  <c r="O170" i="12"/>
  <c r="H170" i="12"/>
  <c r="N170" i="12" s="1"/>
  <c r="G170" i="12"/>
  <c r="O169" i="12"/>
  <c r="N169" i="12"/>
  <c r="G169" i="12"/>
  <c r="O168" i="12"/>
  <c r="H168" i="12"/>
  <c r="N168" i="12" s="1"/>
  <c r="G168" i="12"/>
  <c r="O167" i="12"/>
  <c r="H167" i="12"/>
  <c r="N167" i="12" s="1"/>
  <c r="G167" i="12"/>
  <c r="O166" i="12"/>
  <c r="G166" i="12"/>
  <c r="G165" i="12"/>
  <c r="O164" i="12"/>
  <c r="H164" i="12"/>
  <c r="N164" i="12" s="1"/>
  <c r="G164" i="12"/>
  <c r="N163" i="12"/>
  <c r="G163" i="12"/>
  <c r="O162" i="12"/>
  <c r="N162" i="12"/>
  <c r="H162" i="12"/>
  <c r="F162" i="12"/>
  <c r="E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F135" i="12"/>
  <c r="G135" i="12" s="1"/>
  <c r="E135" i="12"/>
  <c r="G134" i="12"/>
  <c r="H133" i="12"/>
  <c r="G133" i="12"/>
  <c r="H132" i="12"/>
  <c r="G132" i="12"/>
  <c r="H131" i="12"/>
  <c r="G131" i="12"/>
  <c r="H130" i="12"/>
  <c r="G130" i="12"/>
  <c r="H129" i="12"/>
  <c r="G129" i="12"/>
  <c r="S128" i="12"/>
  <c r="H128" i="12"/>
  <c r="G128" i="12"/>
  <c r="H127" i="12"/>
  <c r="G127" i="12"/>
  <c r="S126" i="12"/>
  <c r="H126" i="12"/>
  <c r="G126" i="12"/>
  <c r="H125" i="12"/>
  <c r="G125" i="12"/>
  <c r="H124" i="12"/>
  <c r="G124" i="12"/>
  <c r="H123" i="12"/>
  <c r="G123" i="12"/>
  <c r="H122" i="12"/>
  <c r="G122" i="12"/>
  <c r="H121" i="12"/>
  <c r="G121" i="12"/>
  <c r="H120" i="12"/>
  <c r="G120" i="12"/>
  <c r="H119" i="12"/>
  <c r="N119" i="12" s="1"/>
  <c r="O119" i="12" s="1"/>
  <c r="G119" i="12"/>
  <c r="H118" i="12"/>
  <c r="G118" i="12"/>
  <c r="H117" i="12"/>
  <c r="N117" i="12" s="1"/>
  <c r="G117" i="12"/>
  <c r="F116" i="12"/>
  <c r="E116" i="12"/>
  <c r="H115" i="12"/>
  <c r="G115" i="12"/>
  <c r="H114" i="12"/>
  <c r="G114" i="12"/>
  <c r="H113" i="12"/>
  <c r="N113" i="12" s="1"/>
  <c r="O113" i="12" s="1"/>
  <c r="G113" i="12"/>
  <c r="H112" i="12"/>
  <c r="N112" i="12" s="1"/>
  <c r="O112" i="12" s="1"/>
  <c r="G112" i="12"/>
  <c r="H111" i="12"/>
  <c r="N111" i="12" s="1"/>
  <c r="O111" i="12" s="1"/>
  <c r="G111" i="12"/>
  <c r="H110" i="12"/>
  <c r="N110" i="12" s="1"/>
  <c r="G110" i="12"/>
  <c r="O109" i="12"/>
  <c r="N109" i="12"/>
  <c r="F109" i="12"/>
  <c r="E109" i="12"/>
  <c r="G108" i="12"/>
  <c r="H107" i="12"/>
  <c r="G107" i="12"/>
  <c r="S106" i="12"/>
  <c r="H106" i="12"/>
  <c r="G106" i="12"/>
  <c r="H105" i="12"/>
  <c r="G105" i="12"/>
  <c r="H104" i="12"/>
  <c r="G104" i="12"/>
  <c r="H103" i="12"/>
  <c r="G103" i="12"/>
  <c r="G102" i="12"/>
  <c r="F101" i="12"/>
  <c r="G101" i="12" s="1"/>
  <c r="E101" i="12"/>
  <c r="H100" i="12"/>
  <c r="N100" i="12" s="1"/>
  <c r="O100" i="12" s="1"/>
  <c r="G100" i="12"/>
  <c r="H99" i="12"/>
  <c r="O99" i="12" s="1"/>
  <c r="G99" i="12"/>
  <c r="H98" i="12"/>
  <c r="O98" i="12" s="1"/>
  <c r="G98" i="12"/>
  <c r="H97" i="12"/>
  <c r="N97" i="12" s="1"/>
  <c r="G97" i="12"/>
  <c r="H96" i="12"/>
  <c r="O96" i="12" s="1"/>
  <c r="G96" i="12"/>
  <c r="O91" i="12"/>
  <c r="O90" i="12" s="1"/>
  <c r="N91" i="12"/>
  <c r="N90" i="12" s="1"/>
  <c r="H91" i="12"/>
  <c r="H90" i="12" s="1"/>
  <c r="H89" i="12"/>
  <c r="G89" i="12"/>
  <c r="H88" i="12"/>
  <c r="G88" i="12"/>
  <c r="H87" i="12"/>
  <c r="G87" i="12"/>
  <c r="O86" i="12"/>
  <c r="N86" i="12"/>
  <c r="F86" i="12"/>
  <c r="E86" i="12"/>
  <c r="H85" i="12"/>
  <c r="G85" i="12"/>
  <c r="H84" i="12"/>
  <c r="G84" i="12"/>
  <c r="H83" i="12"/>
  <c r="G83" i="12"/>
  <c r="H82" i="12"/>
  <c r="G82" i="12"/>
  <c r="H81" i="12"/>
  <c r="G81" i="12"/>
  <c r="H80" i="12"/>
  <c r="G80" i="12"/>
  <c r="O79" i="12"/>
  <c r="N79" i="12"/>
  <c r="F79" i="12"/>
  <c r="E79" i="12"/>
  <c r="E78" i="12" s="1"/>
  <c r="G69" i="12"/>
  <c r="G68" i="12"/>
  <c r="G67" i="12"/>
  <c r="O66" i="12"/>
  <c r="N66" i="12"/>
  <c r="H66" i="12"/>
  <c r="G66" i="12"/>
  <c r="O65" i="12"/>
  <c r="N65" i="12"/>
  <c r="H65" i="12"/>
  <c r="F65" i="12"/>
  <c r="E65" i="12"/>
  <c r="G63" i="12"/>
  <c r="H62" i="12"/>
  <c r="G62" i="12"/>
  <c r="G61" i="12"/>
  <c r="G60" i="12"/>
  <c r="G59" i="12"/>
  <c r="G58" i="12"/>
  <c r="O57" i="12"/>
  <c r="N57" i="12"/>
  <c r="H57" i="12"/>
  <c r="G57" i="12"/>
  <c r="H56" i="12"/>
  <c r="G56" i="12"/>
  <c r="O55" i="12"/>
  <c r="N55" i="12"/>
  <c r="H55" i="12"/>
  <c r="G55" i="12"/>
  <c r="G54" i="12"/>
  <c r="H53" i="12"/>
  <c r="G53" i="12"/>
  <c r="H52" i="12"/>
  <c r="G52" i="12"/>
  <c r="G51" i="12"/>
  <c r="H50" i="12"/>
  <c r="N50" i="12" s="1"/>
  <c r="O50" i="12" s="1"/>
  <c r="G50" i="12"/>
  <c r="G49" i="12"/>
  <c r="H48" i="12"/>
  <c r="N48" i="12" s="1"/>
  <c r="O48" i="12" s="1"/>
  <c r="G48" i="12"/>
  <c r="O47" i="12"/>
  <c r="N47" i="12"/>
  <c r="H47" i="12"/>
  <c r="G47" i="12"/>
  <c r="F46" i="12"/>
  <c r="G46" i="12" s="1"/>
  <c r="E46" i="12"/>
  <c r="G45" i="12"/>
  <c r="G44" i="12"/>
  <c r="O43" i="12"/>
  <c r="N43" i="12"/>
  <c r="H43" i="12"/>
  <c r="G43" i="12"/>
  <c r="O42" i="12"/>
  <c r="N42" i="12"/>
  <c r="H42" i="12"/>
  <c r="F42" i="12"/>
  <c r="E42" i="12"/>
  <c r="E41" i="12" s="1"/>
  <c r="O38" i="12"/>
  <c r="N38" i="12"/>
  <c r="J38" i="12"/>
  <c r="H38" i="12"/>
  <c r="G37" i="12"/>
  <c r="O36" i="12"/>
  <c r="N36" i="12"/>
  <c r="H36" i="12"/>
  <c r="F36" i="12"/>
  <c r="E36" i="12"/>
  <c r="G35" i="12"/>
  <c r="G34" i="12"/>
  <c r="G33" i="12"/>
  <c r="G32" i="12"/>
  <c r="G31" i="12"/>
  <c r="G30" i="12"/>
  <c r="O29" i="12"/>
  <c r="N29" i="12"/>
  <c r="H29" i="12"/>
  <c r="F29" i="12"/>
  <c r="E29" i="12"/>
  <c r="G28" i="12"/>
  <c r="G27" i="12"/>
  <c r="G26" i="12"/>
  <c r="O25" i="12"/>
  <c r="N25" i="12"/>
  <c r="H25" i="12"/>
  <c r="F25" i="12"/>
  <c r="E25" i="12"/>
  <c r="G24" i="12"/>
  <c r="G23" i="12"/>
  <c r="O22" i="12"/>
  <c r="N22" i="12"/>
  <c r="H22" i="12"/>
  <c r="F22" i="12"/>
  <c r="E22" i="12"/>
  <c r="G21" i="12"/>
  <c r="G20" i="12"/>
  <c r="G19" i="12"/>
  <c r="G18" i="12"/>
  <c r="G17" i="12"/>
  <c r="G16" i="12"/>
  <c r="G15" i="12"/>
  <c r="G14" i="12"/>
  <c r="G13" i="12"/>
  <c r="G12" i="12"/>
  <c r="G11" i="12"/>
  <c r="G10" i="12"/>
  <c r="O9" i="12"/>
  <c r="N9" i="12"/>
  <c r="H9" i="12"/>
  <c r="F9" i="12"/>
  <c r="E9" i="12"/>
  <c r="G8" i="12"/>
  <c r="G7" i="12"/>
  <c r="G6" i="12"/>
  <c r="G5" i="12"/>
  <c r="O4" i="12"/>
  <c r="N4" i="12"/>
  <c r="H4" i="12"/>
  <c r="H3" i="12" s="1"/>
  <c r="B4" i="12"/>
  <c r="B5" i="12" s="1"/>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9" i="12" s="1"/>
  <c r="B40" i="12" s="1"/>
  <c r="B41" i="12" s="1"/>
  <c r="B47" i="12" s="1"/>
  <c r="B48" i="12" s="1"/>
  <c r="B49" i="12" s="1"/>
  <c r="B50" i="12" s="1"/>
  <c r="B51" i="12" s="1"/>
  <c r="B52" i="12" s="1"/>
  <c r="B53" i="12" s="1"/>
  <c r="B54" i="12" s="1"/>
  <c r="B55" i="12" s="1"/>
  <c r="B56" i="12" s="1"/>
  <c r="B57" i="12" s="1"/>
  <c r="B58" i="12" s="1"/>
  <c r="B59" i="12" s="1"/>
  <c r="B43" i="12" s="1"/>
  <c r="B62" i="12" s="1"/>
  <c r="B60" i="12" s="1"/>
  <c r="B61" i="12" s="1"/>
  <c r="B65" i="12" s="1"/>
  <c r="B66" i="12" s="1"/>
  <c r="B67" i="12" s="1"/>
  <c r="B68" i="12" s="1"/>
  <c r="B72" i="12" s="1"/>
  <c r="B73" i="12" s="1"/>
  <c r="B74" i="12" s="1"/>
  <c r="B75" i="12" s="1"/>
  <c r="B76" i="12" s="1"/>
  <c r="B77" i="12" s="1"/>
  <c r="B78" i="12" s="1"/>
  <c r="B79" i="12" s="1"/>
  <c r="B80" i="12" s="1"/>
  <c r="B81" i="12" s="1"/>
  <c r="B82" i="12" s="1"/>
  <c r="B83" i="12" s="1"/>
  <c r="B84" i="12" s="1"/>
  <c r="B85" i="12" s="1"/>
  <c r="B86" i="12" s="1"/>
  <c r="B87" i="12" s="1"/>
  <c r="B88" i="12" s="1"/>
  <c r="B89" i="12" s="1"/>
  <c r="B94" i="12" s="1"/>
  <c r="B95" i="12" s="1"/>
  <c r="G36" i="12" l="1"/>
  <c r="G65" i="12"/>
  <c r="N197" i="12"/>
  <c r="O327" i="12"/>
  <c r="N327" i="12"/>
  <c r="N459" i="12"/>
  <c r="G534" i="12"/>
  <c r="N3" i="12"/>
  <c r="G25" i="12"/>
  <c r="E40" i="12"/>
  <c r="O230" i="12"/>
  <c r="O397" i="12"/>
  <c r="H374" i="12"/>
  <c r="E382" i="12"/>
  <c r="G382" i="12" s="1"/>
  <c r="N403" i="12"/>
  <c r="N443" i="12" s="1"/>
  <c r="N450" i="12"/>
  <c r="G42" i="12"/>
  <c r="N78" i="12"/>
  <c r="G109" i="12"/>
  <c r="G116" i="12"/>
  <c r="G162" i="12"/>
  <c r="O204" i="12"/>
  <c r="O229" i="12"/>
  <c r="N298" i="12"/>
  <c r="E356" i="12"/>
  <c r="E398" i="12"/>
  <c r="E403" i="12"/>
  <c r="O403" i="12"/>
  <c r="N85" i="15"/>
  <c r="E14" i="10"/>
  <c r="G22" i="12"/>
  <c r="G29" i="12"/>
  <c r="O3" i="12"/>
  <c r="G79" i="12"/>
  <c r="H79" i="12"/>
  <c r="H78" i="12" s="1"/>
  <c r="G86" i="12"/>
  <c r="H86" i="12"/>
  <c r="N98" i="12"/>
  <c r="N193" i="12"/>
  <c r="O196" i="12"/>
  <c r="O207" i="12"/>
  <c r="N212" i="12"/>
  <c r="N217" i="12"/>
  <c r="O223" i="12"/>
  <c r="O228" i="12"/>
  <c r="E235" i="12"/>
  <c r="H291" i="12"/>
  <c r="H361" i="12"/>
  <c r="G451" i="12"/>
  <c r="G455" i="12"/>
  <c r="F459" i="12"/>
  <c r="G542" i="12"/>
  <c r="N79" i="15"/>
  <c r="Q100" i="15"/>
  <c r="E4" i="12"/>
  <c r="E3" i="12" s="1"/>
  <c r="F41" i="12"/>
  <c r="O97" i="12"/>
  <c r="E95" i="12"/>
  <c r="E94" i="12" s="1"/>
  <c r="O202" i="12"/>
  <c r="O211" i="12"/>
  <c r="O216" i="12"/>
  <c r="F235" i="12"/>
  <c r="G235" i="12" s="1"/>
  <c r="H255" i="12"/>
  <c r="O291" i="12"/>
  <c r="O298" i="12"/>
  <c r="H335" i="12"/>
  <c r="H334" i="12" s="1"/>
  <c r="G343" i="12"/>
  <c r="F397" i="12"/>
  <c r="G397" i="12" s="1"/>
  <c r="F398" i="12"/>
  <c r="H382" i="12"/>
  <c r="H393" i="12"/>
  <c r="H398" i="12" s="1"/>
  <c r="F450" i="12"/>
  <c r="G450" i="12" s="1"/>
  <c r="G510" i="12"/>
  <c r="R44" i="9"/>
  <c r="T44" i="9" s="1"/>
  <c r="P111" i="17"/>
  <c r="O413" i="12"/>
  <c r="O443" i="12" s="1"/>
  <c r="H46" i="12"/>
  <c r="H41" i="12" s="1"/>
  <c r="H40" i="12" s="1"/>
  <c r="O101" i="12"/>
  <c r="H109" i="12"/>
  <c r="G192" i="12"/>
  <c r="N334" i="12"/>
  <c r="O353" i="12"/>
  <c r="G361" i="12"/>
  <c r="G368" i="12"/>
  <c r="H368" i="12"/>
  <c r="H367" i="12" s="1"/>
  <c r="G374" i="12"/>
  <c r="N382" i="12"/>
  <c r="G385" i="12"/>
  <c r="H403" i="12"/>
  <c r="E459" i="12"/>
  <c r="N510" i="12"/>
  <c r="N513" i="12" s="1"/>
  <c r="N514" i="12" s="1"/>
  <c r="N524" i="12" s="1"/>
  <c r="H524" i="12"/>
  <c r="G545" i="12"/>
  <c r="N87" i="15"/>
  <c r="F15" i="10" s="1"/>
  <c r="F36" i="10" s="1"/>
  <c r="E15" i="10"/>
  <c r="O3" i="15"/>
  <c r="Q29" i="5"/>
  <c r="T29" i="5" s="1"/>
  <c r="Q30" i="11"/>
  <c r="Q30" i="5"/>
  <c r="T30" i="5" s="1"/>
  <c r="Q31" i="11"/>
  <c r="Q51" i="5"/>
  <c r="T51" i="5" s="1"/>
  <c r="Q52" i="11"/>
  <c r="Q24" i="5"/>
  <c r="T24" i="5" s="1"/>
  <c r="Q25" i="11"/>
  <c r="Q190" i="14"/>
  <c r="P191" i="14"/>
  <c r="R103" i="5" s="1"/>
  <c r="T103" i="5" s="1"/>
  <c r="Q52" i="5"/>
  <c r="T52" i="5" s="1"/>
  <c r="Q53" i="11"/>
  <c r="Q60" i="5"/>
  <c r="T60" i="5" s="1"/>
  <c r="Q61" i="11"/>
  <c r="N76" i="15"/>
  <c r="N117" i="15" s="1"/>
  <c r="H117" i="15"/>
  <c r="Q59" i="5"/>
  <c r="T59" i="5" s="1"/>
  <c r="Q60" i="11"/>
  <c r="Q10" i="5"/>
  <c r="Q11" i="11"/>
  <c r="Q14" i="5"/>
  <c r="T14" i="5" s="1"/>
  <c r="Q15" i="11"/>
  <c r="Q12" i="5"/>
  <c r="T12" i="5" s="1"/>
  <c r="Q13" i="11"/>
  <c r="Q11" i="5"/>
  <c r="T11" i="5" s="1"/>
  <c r="Q12" i="11"/>
  <c r="Q13" i="5"/>
  <c r="T13" i="5" s="1"/>
  <c r="Q14" i="11"/>
  <c r="Q15" i="5"/>
  <c r="T15" i="5" s="1"/>
  <c r="Q16" i="11"/>
  <c r="Q73" i="9"/>
  <c r="B32" i="17"/>
  <c r="B98" i="17" s="1"/>
  <c r="B8" i="17" s="1"/>
  <c r="R6" i="17"/>
  <c r="M201" i="14"/>
  <c r="Q198" i="14"/>
  <c r="Q56" i="5"/>
  <c r="T56" i="5" s="1"/>
  <c r="Q196" i="14"/>
  <c r="Q54" i="5"/>
  <c r="T54" i="5" s="1"/>
  <c r="Q197" i="14"/>
  <c r="Q55" i="5"/>
  <c r="T55" i="5" s="1"/>
  <c r="O173" i="14"/>
  <c r="R93" i="5" s="1"/>
  <c r="T93" i="5" s="1"/>
  <c r="Q40" i="5"/>
  <c r="T40" i="5" s="1"/>
  <c r="Q175" i="14"/>
  <c r="Q42" i="5"/>
  <c r="T42" i="5" s="1"/>
  <c r="O188" i="14"/>
  <c r="Q49" i="5"/>
  <c r="T49" i="5" s="1"/>
  <c r="Q177" i="14"/>
  <c r="Q44" i="5"/>
  <c r="T44" i="5" s="1"/>
  <c r="Q174" i="14"/>
  <c r="Q41" i="5"/>
  <c r="T41" i="5" s="1"/>
  <c r="Q176" i="14"/>
  <c r="Q43" i="5"/>
  <c r="T43" i="5" s="1"/>
  <c r="Q166" i="14"/>
  <c r="Q36" i="5"/>
  <c r="T36" i="5" s="1"/>
  <c r="O162" i="14"/>
  <c r="R85" i="5" s="1"/>
  <c r="T85" i="5" s="1"/>
  <c r="Q32" i="5"/>
  <c r="T32" i="5" s="1"/>
  <c r="O164" i="14"/>
  <c r="R87" i="5" s="1"/>
  <c r="T87" i="5" s="1"/>
  <c r="Q34" i="5"/>
  <c r="T34" i="5" s="1"/>
  <c r="O167" i="14"/>
  <c r="R90" i="5" s="1"/>
  <c r="T90" i="5" s="1"/>
  <c r="Q37" i="5"/>
  <c r="T37" i="5" s="1"/>
  <c r="O158" i="14"/>
  <c r="R81" i="5" s="1"/>
  <c r="T81" i="5" s="1"/>
  <c r="Q28" i="5"/>
  <c r="T28" i="5" s="1"/>
  <c r="Q156" i="14"/>
  <c r="Q26" i="5"/>
  <c r="T26" i="5" s="1"/>
  <c r="Q157" i="14"/>
  <c r="Q27" i="5"/>
  <c r="T27" i="5" s="1"/>
  <c r="M127" i="14"/>
  <c r="Q89" i="14"/>
  <c r="Q18" i="5"/>
  <c r="T18" i="5" s="1"/>
  <c r="Q85" i="14"/>
  <c r="Q16" i="5"/>
  <c r="T16" i="5" s="1"/>
  <c r="O90" i="14"/>
  <c r="Q19" i="5"/>
  <c r="T19" i="5" s="1"/>
  <c r="Q86" i="14"/>
  <c r="M87" i="14"/>
  <c r="G206" i="14"/>
  <c r="F4" i="15"/>
  <c r="F3" i="15" s="1"/>
  <c r="G29" i="15"/>
  <c r="E41" i="15"/>
  <c r="E40" i="15" s="1"/>
  <c r="E73" i="15" s="1"/>
  <c r="H46" i="15"/>
  <c r="H41" i="15" s="1"/>
  <c r="H40" i="15" s="1"/>
  <c r="G65" i="15"/>
  <c r="G36" i="15"/>
  <c r="G22" i="15"/>
  <c r="G46" i="15"/>
  <c r="E4" i="15"/>
  <c r="E3" i="15" s="1"/>
  <c r="G25" i="15"/>
  <c r="G9" i="15"/>
  <c r="B79" i="15"/>
  <c r="B81" i="15" s="1"/>
  <c r="B87" i="15" s="1"/>
  <c r="B95" i="15" s="1"/>
  <c r="F40" i="15"/>
  <c r="O50" i="15"/>
  <c r="N46" i="15" s="1"/>
  <c r="N41" i="15" s="1"/>
  <c r="N40" i="15" s="1"/>
  <c r="O87" i="15"/>
  <c r="G42" i="15"/>
  <c r="M186" i="14"/>
  <c r="F98" i="14"/>
  <c r="Q3" i="14"/>
  <c r="F29" i="14"/>
  <c r="M171" i="14"/>
  <c r="O182" i="14"/>
  <c r="O196" i="14"/>
  <c r="R107" i="5" s="1"/>
  <c r="T107" i="5" s="1"/>
  <c r="F22" i="14"/>
  <c r="M98" i="14"/>
  <c r="O156" i="14"/>
  <c r="R79" i="5" s="1"/>
  <c r="T79" i="5" s="1"/>
  <c r="M191" i="14"/>
  <c r="Q169" i="14"/>
  <c r="Q173" i="14"/>
  <c r="F46" i="14"/>
  <c r="M105" i="14"/>
  <c r="Q164" i="14"/>
  <c r="O166" i="14"/>
  <c r="R89" i="5" s="1"/>
  <c r="T89" i="5" s="1"/>
  <c r="O175" i="14"/>
  <c r="R95" i="5" s="1"/>
  <c r="T95" i="5" s="1"/>
  <c r="G46" i="14"/>
  <c r="G41" i="14" s="1"/>
  <c r="G40" i="14" s="1"/>
  <c r="O3" i="14"/>
  <c r="E4" i="14"/>
  <c r="E3" i="14" s="1"/>
  <c r="D41" i="14"/>
  <c r="D40" i="14" s="1"/>
  <c r="D73" i="14" s="1"/>
  <c r="O198" i="14"/>
  <c r="R109" i="5" s="1"/>
  <c r="T109" i="5" s="1"/>
  <c r="F9" i="14"/>
  <c r="D4" i="14"/>
  <c r="D3" i="14" s="1"/>
  <c r="F36" i="14"/>
  <c r="E41" i="14"/>
  <c r="O50" i="14"/>
  <c r="Q50" i="14" s="1"/>
  <c r="Q46" i="14" s="1"/>
  <c r="Q41" i="14" s="1"/>
  <c r="Q40" i="14" s="1"/>
  <c r="F65" i="14"/>
  <c r="O89" i="14"/>
  <c r="R71" i="5" s="1"/>
  <c r="T71" i="5" s="1"/>
  <c r="Q158" i="14"/>
  <c r="Q162" i="14"/>
  <c r="Q167" i="14"/>
  <c r="O169" i="14"/>
  <c r="P170" i="14" s="1"/>
  <c r="R91" i="5" s="1"/>
  <c r="T91" i="5" s="1"/>
  <c r="O179" i="14"/>
  <c r="O197" i="14"/>
  <c r="R108" i="5" s="1"/>
  <c r="T108" i="5" s="1"/>
  <c r="G3" i="14"/>
  <c r="O86" i="14"/>
  <c r="F119" i="14"/>
  <c r="F154" i="14"/>
  <c r="A123" i="14"/>
  <c r="A130" i="14"/>
  <c r="A134" i="14" s="1"/>
  <c r="A138" i="14" s="1"/>
  <c r="A142" i="14" s="1"/>
  <c r="A146" i="14" s="1"/>
  <c r="A150" i="14" s="1"/>
  <c r="A155" i="14" s="1"/>
  <c r="A188" i="14" s="1"/>
  <c r="A158" i="14" s="1"/>
  <c r="A164" i="14" s="1"/>
  <c r="A169" i="14" s="1"/>
  <c r="A173" i="14" s="1"/>
  <c r="A181" i="14" s="1"/>
  <c r="A184" i="14" s="1"/>
  <c r="F42" i="14"/>
  <c r="F25" i="14"/>
  <c r="Q106" i="14"/>
  <c r="Q119" i="14" s="1"/>
  <c r="O87" i="14"/>
  <c r="O99" i="14"/>
  <c r="P105" i="14" s="1"/>
  <c r="R74" i="5" s="1"/>
  <c r="T74" i="5" s="1"/>
  <c r="O176" i="14"/>
  <c r="R96" i="5" s="1"/>
  <c r="T96" i="5" s="1"/>
  <c r="Q179" i="14"/>
  <c r="O183" i="14"/>
  <c r="Q186" i="14"/>
  <c r="M119" i="14"/>
  <c r="O85" i="14"/>
  <c r="R69" i="5" s="1"/>
  <c r="T69" i="5" s="1"/>
  <c r="O157" i="14"/>
  <c r="R80" i="5" s="1"/>
  <c r="T80" i="5" s="1"/>
  <c r="O174" i="14"/>
  <c r="R94" i="5" s="1"/>
  <c r="T94" i="5" s="1"/>
  <c r="N238" i="13"/>
  <c r="N229" i="13"/>
  <c r="N222" i="13"/>
  <c r="N108" i="13"/>
  <c r="P212" i="13"/>
  <c r="N203" i="13"/>
  <c r="N101" i="13"/>
  <c r="N127" i="13"/>
  <c r="Q3" i="13"/>
  <c r="Q209" i="13"/>
  <c r="G42" i="13"/>
  <c r="P183" i="13"/>
  <c r="P205" i="13"/>
  <c r="P162" i="13"/>
  <c r="Q201" i="13"/>
  <c r="P3" i="13"/>
  <c r="G46" i="13"/>
  <c r="P90" i="13"/>
  <c r="G101" i="13"/>
  <c r="Q186" i="13"/>
  <c r="P195" i="13"/>
  <c r="Q222" i="13"/>
  <c r="G25" i="13"/>
  <c r="E41" i="13"/>
  <c r="E40" i="13" s="1"/>
  <c r="G65" i="13"/>
  <c r="P208" i="13"/>
  <c r="G230" i="13"/>
  <c r="H78" i="13"/>
  <c r="Q89" i="13"/>
  <c r="P167" i="13"/>
  <c r="Q182" i="13"/>
  <c r="P199" i="13"/>
  <c r="Q207" i="13"/>
  <c r="P215" i="13"/>
  <c r="P224" i="13"/>
  <c r="H46" i="13"/>
  <c r="H41" i="13" s="1"/>
  <c r="H40" i="13" s="1"/>
  <c r="E4" i="13"/>
  <c r="E3" i="13" s="1"/>
  <c r="P48" i="13"/>
  <c r="Q48" i="13" s="1"/>
  <c r="Q46" i="13" s="1"/>
  <c r="Q41" i="13" s="1"/>
  <c r="Q40" i="13" s="1"/>
  <c r="Q78" i="13"/>
  <c r="P109" i="13"/>
  <c r="G127" i="13"/>
  <c r="G154" i="13"/>
  <c r="F41" i="13"/>
  <c r="F40" i="13" s="1"/>
  <c r="G9" i="13"/>
  <c r="G36" i="13"/>
  <c r="F4" i="13"/>
  <c r="F3" i="13" s="1"/>
  <c r="G29" i="13"/>
  <c r="B95" i="13"/>
  <c r="B96" i="13" s="1"/>
  <c r="B97" i="13" s="1"/>
  <c r="B98" i="13" s="1"/>
  <c r="B99" i="13" s="1"/>
  <c r="B100" i="13" s="1"/>
  <c r="B101" i="13" s="1"/>
  <c r="B102" i="13" s="1"/>
  <c r="B104" i="13" s="1"/>
  <c r="B103" i="13" s="1"/>
  <c r="B105" i="13" s="1"/>
  <c r="B106" i="13" s="1"/>
  <c r="B107" i="13" s="1"/>
  <c r="B108" i="13" s="1"/>
  <c r="B109" i="13" s="1"/>
  <c r="B110" i="13" s="1"/>
  <c r="B116" i="13" s="1"/>
  <c r="B111" i="13" s="1"/>
  <c r="B112" i="13" s="1"/>
  <c r="B113" i="13" s="1"/>
  <c r="B114" i="13" s="1"/>
  <c r="B115" i="13" s="1"/>
  <c r="B117" i="13" s="1"/>
  <c r="B118" i="13" s="1"/>
  <c r="B119" i="13" s="1"/>
  <c r="B121" i="13" s="1"/>
  <c r="B125" i="13" s="1"/>
  <c r="B89" i="13"/>
  <c r="B90" i="13" s="1"/>
  <c r="B91" i="13" s="1"/>
  <c r="B92" i="13" s="1"/>
  <c r="B93" i="13" s="1"/>
  <c r="G22" i="13"/>
  <c r="F78" i="13"/>
  <c r="Q91" i="13"/>
  <c r="P92" i="13"/>
  <c r="P102" i="13"/>
  <c r="Q184" i="13"/>
  <c r="P185" i="13"/>
  <c r="P191" i="13"/>
  <c r="P193" i="13"/>
  <c r="P196" i="13"/>
  <c r="P200" i="13"/>
  <c r="P206" i="13"/>
  <c r="P216" i="13"/>
  <c r="P219" i="13"/>
  <c r="P220" i="13"/>
  <c r="P221" i="13"/>
  <c r="P182" i="13"/>
  <c r="B96" i="12"/>
  <c r="B97" i="12" s="1"/>
  <c r="B98" i="12" s="1"/>
  <c r="B99" i="12" s="1"/>
  <c r="B100" i="12" s="1"/>
  <c r="B101" i="12"/>
  <c r="B102" i="12" s="1"/>
  <c r="B103" i="12" s="1"/>
  <c r="B104" i="12" s="1"/>
  <c r="B105" i="12" s="1"/>
  <c r="B106" i="12" s="1"/>
  <c r="B107" i="12" s="1"/>
  <c r="B108" i="12" s="1"/>
  <c r="B109" i="12" s="1"/>
  <c r="B110" i="12" s="1"/>
  <c r="B112" i="12" s="1"/>
  <c r="B111" i="12" s="1"/>
  <c r="B113" i="12" s="1"/>
  <c r="B114" i="12" s="1"/>
  <c r="B115" i="12" s="1"/>
  <c r="B116" i="12" s="1"/>
  <c r="B117" i="12" s="1"/>
  <c r="B118" i="12" s="1"/>
  <c r="B124" i="12" s="1"/>
  <c r="B119" i="12" s="1"/>
  <c r="B120" i="12" s="1"/>
  <c r="B121" i="12" s="1"/>
  <c r="B122" i="12" s="1"/>
  <c r="B123" i="12" s="1"/>
  <c r="B125" i="12" s="1"/>
  <c r="B126" i="12" s="1"/>
  <c r="B127" i="12" s="1"/>
  <c r="B129" i="12" s="1"/>
  <c r="B133" i="12" s="1"/>
  <c r="G41" i="12"/>
  <c r="O117" i="12"/>
  <c r="O135" i="12" s="1"/>
  <c r="N135" i="12"/>
  <c r="E75" i="12"/>
  <c r="E73" i="12"/>
  <c r="O78" i="12"/>
  <c r="O110" i="12"/>
  <c r="O116" i="12" s="1"/>
  <c r="N116" i="12"/>
  <c r="G9" i="12"/>
  <c r="O46" i="12"/>
  <c r="O41" i="12" s="1"/>
  <c r="O40" i="12" s="1"/>
  <c r="H116" i="12"/>
  <c r="H192" i="12"/>
  <c r="O224" i="12"/>
  <c r="N224" i="12"/>
  <c r="H397" i="12"/>
  <c r="H356" i="12"/>
  <c r="F40" i="12"/>
  <c r="F78" i="12"/>
  <c r="N99" i="12"/>
  <c r="H135" i="12"/>
  <c r="O195" i="12"/>
  <c r="N195" i="12"/>
  <c r="H326" i="12"/>
  <c r="G335" i="12"/>
  <c r="O335" i="12"/>
  <c r="O334" i="12" s="1"/>
  <c r="K335" i="12"/>
  <c r="J335" i="12"/>
  <c r="G513" i="12"/>
  <c r="F514" i="12"/>
  <c r="H101" i="12"/>
  <c r="F4" i="12"/>
  <c r="N46" i="12"/>
  <c r="N41" i="12" s="1"/>
  <c r="N40" i="12" s="1"/>
  <c r="F95" i="12"/>
  <c r="N96" i="12"/>
  <c r="H234" i="12"/>
  <c r="G334" i="12"/>
  <c r="N398" i="12"/>
  <c r="N356" i="12"/>
  <c r="H389" i="12"/>
  <c r="F537" i="12"/>
  <c r="G537" i="12" s="1"/>
  <c r="O175" i="12"/>
  <c r="N175" i="12"/>
  <c r="I192" i="12" s="1"/>
  <c r="N194" i="12"/>
  <c r="O218" i="12"/>
  <c r="N218" i="12"/>
  <c r="O231" i="12"/>
  <c r="N231" i="12"/>
  <c r="H327" i="12"/>
  <c r="M335" i="12"/>
  <c r="L335" i="12"/>
  <c r="N397" i="12"/>
  <c r="E521" i="12"/>
  <c r="G521" i="12" s="1"/>
  <c r="G517" i="12"/>
  <c r="N206" i="12"/>
  <c r="N210" i="12"/>
  <c r="N215" i="12"/>
  <c r="N219" i="12"/>
  <c r="N222" i="12"/>
  <c r="G404" i="12"/>
  <c r="F403" i="12"/>
  <c r="H490" i="12"/>
  <c r="E554" i="12"/>
  <c r="N236" i="12"/>
  <c r="F356" i="12"/>
  <c r="O356" i="12"/>
  <c r="O400" i="12" s="1"/>
  <c r="G357" i="12"/>
  <c r="G398" i="12"/>
  <c r="G367" i="12"/>
  <c r="G383" i="12"/>
  <c r="G390" i="12"/>
  <c r="E443" i="12"/>
  <c r="H443" i="12"/>
  <c r="G414" i="12"/>
  <c r="E413" i="12"/>
  <c r="G413" i="12" s="1"/>
  <c r="H460" i="12"/>
  <c r="F554" i="12"/>
  <c r="G554" i="12" s="1"/>
  <c r="G532" i="12"/>
  <c r="H235" i="12" l="1"/>
  <c r="N400" i="12"/>
  <c r="E400" i="12"/>
  <c r="E504" i="12" s="1"/>
  <c r="E506" i="12" s="1"/>
  <c r="E539" i="12" s="1"/>
  <c r="E556" i="12" s="1"/>
  <c r="H75" i="12"/>
  <c r="H73" i="12"/>
  <c r="E524" i="12"/>
  <c r="L192" i="12"/>
  <c r="E36" i="10"/>
  <c r="O117" i="15"/>
  <c r="G15" i="10"/>
  <c r="G36" i="10" s="1"/>
  <c r="O234" i="12"/>
  <c r="N234" i="12"/>
  <c r="G41" i="15"/>
  <c r="G459" i="12"/>
  <c r="P186" i="14"/>
  <c r="R98" i="5" s="1"/>
  <c r="T98" i="5" s="1"/>
  <c r="Q57" i="5"/>
  <c r="T57" i="5" s="1"/>
  <c r="Q58" i="11"/>
  <c r="Q188" i="14"/>
  <c r="R102" i="5"/>
  <c r="T102" i="5" s="1"/>
  <c r="Q21" i="5"/>
  <c r="T21" i="5" s="1"/>
  <c r="Q22" i="11"/>
  <c r="Q50" i="5"/>
  <c r="T50" i="5" s="1"/>
  <c r="Q51" i="11"/>
  <c r="Q38" i="5"/>
  <c r="T38" i="5" s="1"/>
  <c r="Q39" i="11"/>
  <c r="Q45" i="5"/>
  <c r="T45" i="5" s="1"/>
  <c r="Q46" i="11"/>
  <c r="Q90" i="14"/>
  <c r="R72" i="5"/>
  <c r="T72" i="5" s="1"/>
  <c r="P87" i="14"/>
  <c r="R70" i="5" s="1"/>
  <c r="Q20" i="5"/>
  <c r="T20" i="5" s="1"/>
  <c r="Q21" i="11"/>
  <c r="Q22" i="5"/>
  <c r="T22" i="5" s="1"/>
  <c r="Q23" i="11"/>
  <c r="Q17" i="5"/>
  <c r="T17" i="5" s="1"/>
  <c r="Q18" i="11"/>
  <c r="Q23" i="5"/>
  <c r="T23" i="5" s="1"/>
  <c r="Q24" i="11"/>
  <c r="B2" i="19"/>
  <c r="B56" i="17" s="1"/>
  <c r="B13" i="17" s="1"/>
  <c r="B57" i="17" s="1"/>
  <c r="B17" i="17" s="1"/>
  <c r="B16" i="17"/>
  <c r="B36" i="17" s="1"/>
  <c r="B10" i="17" s="1"/>
  <c r="B54" i="17" s="1"/>
  <c r="B12" i="17" s="1"/>
  <c r="B43" i="17" s="1"/>
  <c r="B67" i="17" s="1"/>
  <c r="D75" i="14"/>
  <c r="E75" i="15"/>
  <c r="H75" i="15"/>
  <c r="H73" i="15"/>
  <c r="O46" i="15"/>
  <c r="O41" i="15" s="1"/>
  <c r="O40" i="15" s="1"/>
  <c r="O73" i="15" s="1"/>
  <c r="G3" i="15"/>
  <c r="G4" i="15"/>
  <c r="N75" i="15"/>
  <c r="N73" i="15"/>
  <c r="B77" i="15"/>
  <c r="B86" i="15" s="1"/>
  <c r="B83" i="15" s="1"/>
  <c r="B91" i="15" s="1"/>
  <c r="B97" i="15" s="1"/>
  <c r="F75" i="15"/>
  <c r="F73" i="15"/>
  <c r="G73" i="15" s="1"/>
  <c r="G40" i="15"/>
  <c r="G75" i="14"/>
  <c r="F41" i="14"/>
  <c r="O46" i="14"/>
  <c r="O41" i="14" s="1"/>
  <c r="O40" i="14" s="1"/>
  <c r="O73" i="14" s="1"/>
  <c r="F4" i="14"/>
  <c r="F3" i="14"/>
  <c r="E40" i="14"/>
  <c r="E75" i="14" s="1"/>
  <c r="G73" i="14"/>
  <c r="A124" i="14"/>
  <c r="A128" i="14"/>
  <c r="A132" i="14" s="1"/>
  <c r="A136" i="14" s="1"/>
  <c r="A140" i="14" s="1"/>
  <c r="A144" i="14" s="1"/>
  <c r="A148" i="14" s="1"/>
  <c r="A152" i="14" s="1"/>
  <c r="A190" i="14" s="1"/>
  <c r="A157" i="14" s="1"/>
  <c r="A159" i="14" s="1"/>
  <c r="A162" i="14" s="1"/>
  <c r="A166" i="14" s="1"/>
  <c r="A172" i="14" s="1"/>
  <c r="A175" i="14" s="1"/>
  <c r="A183" i="14" s="1"/>
  <c r="A185" i="14" s="1"/>
  <c r="O206" i="14"/>
  <c r="Q99" i="14"/>
  <c r="Q105" i="14" s="1"/>
  <c r="Q75" i="14"/>
  <c r="Q73" i="14"/>
  <c r="G3" i="13"/>
  <c r="E75" i="13"/>
  <c r="P230" i="13"/>
  <c r="Q230" i="13"/>
  <c r="P46" i="13"/>
  <c r="P41" i="13" s="1"/>
  <c r="P40" i="13" s="1"/>
  <c r="P75" i="13" s="1"/>
  <c r="E73" i="13"/>
  <c r="G41" i="13"/>
  <c r="H75" i="13"/>
  <c r="H73" i="13"/>
  <c r="G4" i="13"/>
  <c r="P127" i="13"/>
  <c r="Q109" i="13"/>
  <c r="Q127" i="13" s="1"/>
  <c r="Q75" i="13"/>
  <c r="Q73" i="13"/>
  <c r="G78" i="13"/>
  <c r="Q102" i="13"/>
  <c r="Q108" i="13" s="1"/>
  <c r="P108" i="13"/>
  <c r="F75" i="13"/>
  <c r="F73" i="13"/>
  <c r="G40" i="13"/>
  <c r="B130" i="13"/>
  <c r="B134" i="13" s="1"/>
  <c r="B138" i="13" s="1"/>
  <c r="B142" i="13" s="1"/>
  <c r="B146" i="13" s="1"/>
  <c r="B150" i="13" s="1"/>
  <c r="B155" i="13" s="1"/>
  <c r="B159" i="13" s="1"/>
  <c r="B163" i="13" s="1"/>
  <c r="B167" i="13" s="1"/>
  <c r="B226" i="13" s="1"/>
  <c r="B175" i="13" s="1"/>
  <c r="B181" i="13" s="1"/>
  <c r="B185" i="13" s="1"/>
  <c r="B189" i="13" s="1"/>
  <c r="B193" i="13" s="1"/>
  <c r="B197" i="13" s="1"/>
  <c r="B201" i="13" s="1"/>
  <c r="B206" i="13" s="1"/>
  <c r="B214" i="13" s="1"/>
  <c r="B217" i="13" s="1"/>
  <c r="B123" i="13"/>
  <c r="G95" i="12"/>
  <c r="F94" i="12"/>
  <c r="G94" i="12" s="1"/>
  <c r="M192" i="12"/>
  <c r="N75" i="12"/>
  <c r="N73" i="12"/>
  <c r="F400" i="12"/>
  <c r="G356" i="12"/>
  <c r="F443" i="12"/>
  <c r="G443" i="12" s="1"/>
  <c r="G403" i="12"/>
  <c r="G514" i="12"/>
  <c r="F524" i="12"/>
  <c r="G524" i="12" s="1"/>
  <c r="J192" i="12"/>
  <c r="G78" i="12"/>
  <c r="G4" i="12"/>
  <c r="F3" i="12"/>
  <c r="G3" i="12" s="1"/>
  <c r="K192" i="12"/>
  <c r="N192" i="12"/>
  <c r="G40" i="12"/>
  <c r="F73" i="12"/>
  <c r="G73" i="12" s="1"/>
  <c r="O75" i="12"/>
  <c r="O73" i="12"/>
  <c r="O192" i="12"/>
  <c r="O95" i="12" s="1"/>
  <c r="B131" i="12"/>
  <c r="B138" i="12"/>
  <c r="B142" i="12" s="1"/>
  <c r="B146" i="12" s="1"/>
  <c r="B150" i="12" s="1"/>
  <c r="B154" i="12" s="1"/>
  <c r="B158" i="12" s="1"/>
  <c r="B163" i="12" s="1"/>
  <c r="B167" i="12" s="1"/>
  <c r="B171" i="12" s="1"/>
  <c r="B175" i="12" s="1"/>
  <c r="B181" i="12" s="1"/>
  <c r="B185" i="12" s="1"/>
  <c r="B192" i="12" s="1"/>
  <c r="B196" i="12" s="1"/>
  <c r="B200" i="12" s="1"/>
  <c r="B204" i="12" s="1"/>
  <c r="B208" i="12" s="1"/>
  <c r="B212" i="12" s="1"/>
  <c r="B216" i="12" s="1"/>
  <c r="B221" i="12" s="1"/>
  <c r="B225" i="12" s="1"/>
  <c r="B235" i="12" s="1"/>
  <c r="B239" i="12" s="1"/>
  <c r="B251" i="12" s="1"/>
  <c r="B241" i="12" s="1"/>
  <c r="B293" i="12" s="1"/>
  <c r="B267" i="12" s="1"/>
  <c r="B246" i="12" s="1"/>
  <c r="B270" i="12" s="1"/>
  <c r="B247" i="12" s="1"/>
  <c r="H459" i="12"/>
  <c r="N237" i="12"/>
  <c r="N235" i="12" s="1"/>
  <c r="O236" i="12"/>
  <c r="O237" i="12" s="1"/>
  <c r="O235" i="12" s="1"/>
  <c r="N101" i="12"/>
  <c r="H95" i="12"/>
  <c r="H94" i="12" s="1"/>
  <c r="H400" i="12"/>
  <c r="G400" i="12" l="1"/>
  <c r="N95" i="12"/>
  <c r="N94" i="12" s="1"/>
  <c r="N504" i="12" s="1"/>
  <c r="O75" i="15"/>
  <c r="G75" i="15"/>
  <c r="B68" i="17"/>
  <c r="B63" i="17" s="1"/>
  <c r="B44" i="17" s="1"/>
  <c r="B59" i="17" s="1"/>
  <c r="B19" i="17"/>
  <c r="B37" i="17"/>
  <c r="B34" i="17" s="1"/>
  <c r="B11" i="17" s="1"/>
  <c r="B55" i="17" s="1"/>
  <c r="B6" i="17"/>
  <c r="B61" i="17"/>
  <c r="B65" i="17" s="1"/>
  <c r="F75" i="14"/>
  <c r="E73" i="14"/>
  <c r="F73" i="14" s="1"/>
  <c r="F40" i="14"/>
  <c r="B78" i="15"/>
  <c r="B80" i="15" s="1"/>
  <c r="B76" i="15"/>
  <c r="B85" i="15" s="1"/>
  <c r="B82" i="15" s="1"/>
  <c r="B88" i="15" s="1"/>
  <c r="B93" i="15" s="1"/>
  <c r="B96" i="15" s="1"/>
  <c r="O75" i="14"/>
  <c r="A129" i="14"/>
  <c r="A133" i="14" s="1"/>
  <c r="A137" i="14" s="1"/>
  <c r="A141" i="14" s="1"/>
  <c r="A145" i="14" s="1"/>
  <c r="A149" i="14" s="1"/>
  <c r="A154" i="14" s="1"/>
  <c r="A160" i="14" s="1"/>
  <c r="A163" i="14" s="1"/>
  <c r="A167" i="14" s="1"/>
  <c r="A179" i="14" s="1"/>
  <c r="A176" i="14" s="1"/>
  <c r="A120" i="14"/>
  <c r="A116" i="14" s="1"/>
  <c r="A119" i="14" s="1"/>
  <c r="A131" i="14" s="1"/>
  <c r="A135" i="14" s="1"/>
  <c r="A139" i="14" s="1"/>
  <c r="A143" i="14" s="1"/>
  <c r="A147" i="14" s="1"/>
  <c r="A151" i="14" s="1"/>
  <c r="A156" i="14" s="1"/>
  <c r="A161" i="14" s="1"/>
  <c r="A165" i="14" s="1"/>
  <c r="A170" i="14" s="1"/>
  <c r="A174" i="14" s="1"/>
  <c r="A182" i="14" s="1"/>
  <c r="A177" i="14" s="1"/>
  <c r="G73" i="13"/>
  <c r="P73" i="13"/>
  <c r="B128" i="13"/>
  <c r="B132" i="13" s="1"/>
  <c r="B136" i="13" s="1"/>
  <c r="B140" i="13" s="1"/>
  <c r="B144" i="13" s="1"/>
  <c r="B148" i="13" s="1"/>
  <c r="B152" i="13" s="1"/>
  <c r="B157" i="13" s="1"/>
  <c r="B161" i="13" s="1"/>
  <c r="B165" i="13" s="1"/>
  <c r="B171" i="13" s="1"/>
  <c r="B228" i="13" s="1"/>
  <c r="B177" i="13" s="1"/>
  <c r="B183" i="13" s="1"/>
  <c r="B187" i="13" s="1"/>
  <c r="B191" i="13" s="1"/>
  <c r="B195" i="13" s="1"/>
  <c r="B199" i="13" s="1"/>
  <c r="B204" i="13" s="1"/>
  <c r="B208" i="13" s="1"/>
  <c r="B216" i="13" s="1"/>
  <c r="B218" i="13" s="1"/>
  <c r="B124" i="13"/>
  <c r="G75" i="13"/>
  <c r="N506" i="12"/>
  <c r="N539" i="12" s="1"/>
  <c r="N556" i="12" s="1"/>
  <c r="O94" i="12"/>
  <c r="O504" i="12" s="1"/>
  <c r="O506" i="12" s="1"/>
  <c r="O539" i="12" s="1"/>
  <c r="O556" i="12" s="1"/>
  <c r="B285" i="12"/>
  <c r="B280" i="12" s="1"/>
  <c r="B273" i="12" s="1"/>
  <c r="B276" i="12" s="1"/>
  <c r="B249" i="12"/>
  <c r="B132" i="12"/>
  <c r="B136" i="12"/>
  <c r="B140" i="12" s="1"/>
  <c r="B144" i="12" s="1"/>
  <c r="B148" i="12" s="1"/>
  <c r="B152" i="12" s="1"/>
  <c r="B156" i="12" s="1"/>
  <c r="B160" i="12" s="1"/>
  <c r="B165" i="12" s="1"/>
  <c r="B169" i="12" s="1"/>
  <c r="B173" i="12" s="1"/>
  <c r="B179" i="12" s="1"/>
  <c r="B183" i="12" s="1"/>
  <c r="B187" i="12" s="1"/>
  <c r="B194" i="12" s="1"/>
  <c r="B198" i="12" s="1"/>
  <c r="B202" i="12" s="1"/>
  <c r="B206" i="12" s="1"/>
  <c r="B210" i="12" s="1"/>
  <c r="B214" i="12" s="1"/>
  <c r="B218" i="12" s="1"/>
  <c r="B223" i="12" s="1"/>
  <c r="B227" i="12" s="1"/>
  <c r="B295" i="12" s="1"/>
  <c r="B240" i="12" s="1"/>
  <c r="B252" i="12" s="1"/>
  <c r="B243" i="12" s="1"/>
  <c r="B265" i="12" s="1"/>
  <c r="B245" i="12" s="1"/>
  <c r="B268" i="12" s="1"/>
  <c r="B272" i="12" s="1"/>
  <c r="B284" i="12" s="1"/>
  <c r="H504" i="12"/>
  <c r="H506" i="12" s="1"/>
  <c r="H539" i="12" s="1"/>
  <c r="H556" i="12" s="1"/>
  <c r="F75" i="12"/>
  <c r="F504" i="12"/>
  <c r="G504" i="12" s="1"/>
  <c r="B84" i="15" l="1"/>
  <c r="B92" i="15" s="1"/>
  <c r="B94" i="15" s="1"/>
  <c r="B98" i="15" s="1"/>
  <c r="B5" i="19"/>
  <c r="B48" i="17" s="1"/>
  <c r="B46" i="17" s="1"/>
  <c r="B69" i="17" s="1"/>
  <c r="B62" i="17" s="1"/>
  <c r="B66" i="17" s="1"/>
  <c r="B70" i="17" s="1"/>
  <c r="B74" i="17"/>
  <c r="B50" i="17" s="1"/>
  <c r="B9" i="17" s="1"/>
  <c r="B41" i="17"/>
  <c r="B96" i="17"/>
  <c r="B100" i="17" s="1"/>
  <c r="B101" i="17" s="1"/>
  <c r="B102" i="17" s="1"/>
  <c r="B104" i="17" s="1"/>
  <c r="B97" i="17" s="1"/>
  <c r="B129" i="13"/>
  <c r="B133" i="13" s="1"/>
  <c r="B137" i="13" s="1"/>
  <c r="B141" i="13" s="1"/>
  <c r="B145" i="13" s="1"/>
  <c r="B149" i="13" s="1"/>
  <c r="B154" i="13" s="1"/>
  <c r="B158" i="13" s="1"/>
  <c r="B162" i="13" s="1"/>
  <c r="B166" i="13" s="1"/>
  <c r="B172" i="13" s="1"/>
  <c r="B174" i="13" s="1"/>
  <c r="B178" i="13" s="1"/>
  <c r="B184" i="13" s="1"/>
  <c r="B188" i="13" s="1"/>
  <c r="B192" i="13" s="1"/>
  <c r="B196" i="13" s="1"/>
  <c r="B200" i="13" s="1"/>
  <c r="B205" i="13" s="1"/>
  <c r="B212" i="13" s="1"/>
  <c r="B209" i="13" s="1"/>
  <c r="B224" i="13" s="1"/>
  <c r="B120" i="13"/>
  <c r="B122" i="13" s="1"/>
  <c r="B127" i="13" s="1"/>
  <c r="B131" i="13" s="1"/>
  <c r="B135" i="13" s="1"/>
  <c r="B139" i="13" s="1"/>
  <c r="B143" i="13" s="1"/>
  <c r="B147" i="13" s="1"/>
  <c r="B151" i="13" s="1"/>
  <c r="B156" i="13" s="1"/>
  <c r="B160" i="13" s="1"/>
  <c r="B164" i="13" s="1"/>
  <c r="B168" i="13" s="1"/>
  <c r="B173" i="13" s="1"/>
  <c r="B176" i="13" s="1"/>
  <c r="B182" i="13" s="1"/>
  <c r="B186" i="13" s="1"/>
  <c r="B190" i="13" s="1"/>
  <c r="B194" i="13" s="1"/>
  <c r="B198" i="13" s="1"/>
  <c r="B202" i="13" s="1"/>
  <c r="B207" i="13" s="1"/>
  <c r="B215" i="13" s="1"/>
  <c r="B210" i="13" s="1"/>
  <c r="B335" i="12"/>
  <c r="B278" i="12"/>
  <c r="B282" i="12" s="1"/>
  <c r="B137" i="12"/>
  <c r="B141" i="12" s="1"/>
  <c r="B145" i="12" s="1"/>
  <c r="B149" i="12" s="1"/>
  <c r="B153" i="12" s="1"/>
  <c r="B157" i="12" s="1"/>
  <c r="B162" i="12" s="1"/>
  <c r="B166" i="12" s="1"/>
  <c r="B170" i="12" s="1"/>
  <c r="B174" i="12" s="1"/>
  <c r="B180" i="12" s="1"/>
  <c r="B184" i="12" s="1"/>
  <c r="B188" i="12" s="1"/>
  <c r="B195" i="12" s="1"/>
  <c r="B199" i="12" s="1"/>
  <c r="B203" i="12" s="1"/>
  <c r="B207" i="12" s="1"/>
  <c r="B211" i="12" s="1"/>
  <c r="B215" i="12" s="1"/>
  <c r="B219" i="12" s="1"/>
  <c r="B224" i="12" s="1"/>
  <c r="B231" i="12" s="1"/>
  <c r="B238" i="12" s="1"/>
  <c r="B253" i="12" s="1"/>
  <c r="B250" i="12" s="1"/>
  <c r="B244" i="12" s="1"/>
  <c r="B266" i="12" s="1"/>
  <c r="B296" i="12" s="1"/>
  <c r="B269" i="12" s="1"/>
  <c r="B275" i="12" s="1"/>
  <c r="B286" i="12" s="1"/>
  <c r="B128" i="12"/>
  <c r="B130" i="12" s="1"/>
  <c r="B135" i="12" s="1"/>
  <c r="B139" i="12" s="1"/>
  <c r="B143" i="12" s="1"/>
  <c r="B147" i="12" s="1"/>
  <c r="B151" i="12" s="1"/>
  <c r="B155" i="12" s="1"/>
  <c r="B159" i="12" s="1"/>
  <c r="B164" i="12" s="1"/>
  <c r="B168" i="12" s="1"/>
  <c r="B172" i="12" s="1"/>
  <c r="B176" i="12" s="1"/>
  <c r="B182" i="12" s="1"/>
  <c r="B186" i="12" s="1"/>
  <c r="B193" i="12" s="1"/>
  <c r="B197" i="12" s="1"/>
  <c r="B201" i="12" s="1"/>
  <c r="B205" i="12" s="1"/>
  <c r="B209" i="12" s="1"/>
  <c r="B213" i="12" s="1"/>
  <c r="B217" i="12" s="1"/>
  <c r="B222" i="12" s="1"/>
  <c r="B226" i="12" s="1"/>
  <c r="B236" i="12" s="1"/>
  <c r="F506" i="12"/>
  <c r="G75" i="12"/>
  <c r="B3" i="19" l="1"/>
  <c r="B1" i="19" s="1"/>
  <c r="B6" i="19" s="1"/>
  <c r="B58" i="17" s="1"/>
  <c r="B18" i="17" s="1"/>
  <c r="B71" i="17" s="1"/>
  <c r="B64" i="17" s="1"/>
  <c r="B45" i="17" s="1"/>
  <c r="B232" i="13"/>
  <c r="B299" i="12"/>
  <c r="B261" i="12" s="1"/>
  <c r="B242" i="12" s="1"/>
  <c r="B294" i="12" s="1"/>
  <c r="B292" i="12" s="1"/>
  <c r="B297" i="12" s="1"/>
  <c r="B271" i="12" s="1"/>
  <c r="B248" i="12" s="1"/>
  <c r="B256" i="12"/>
  <c r="B336" i="12"/>
  <c r="B343" i="12" s="1"/>
  <c r="B344" i="12" s="1"/>
  <c r="B345" i="12" s="1"/>
  <c r="B346" i="12" s="1"/>
  <c r="B347" i="12" s="1"/>
  <c r="B348" i="12" s="1"/>
  <c r="B350" i="12" s="1"/>
  <c r="B356" i="12" s="1"/>
  <c r="B357" i="12" s="1"/>
  <c r="B358" i="12" s="1"/>
  <c r="B361" i="12" s="1"/>
  <c r="B362" i="12" s="1"/>
  <c r="B365" i="12" s="1"/>
  <c r="B367" i="12" s="1"/>
  <c r="B368" i="12" s="1"/>
  <c r="B369" i="12" s="1"/>
  <c r="B279" i="12"/>
  <c r="B283" i="12" s="1"/>
  <c r="B287" i="12" s="1"/>
  <c r="G506" i="12"/>
  <c r="F539" i="12"/>
  <c r="B110" i="17" l="1"/>
  <c r="B239" i="13"/>
  <c r="B243" i="13" s="1"/>
  <c r="B247" i="13" s="1"/>
  <c r="B251" i="13" s="1"/>
  <c r="B255" i="13" s="1"/>
  <c r="B259" i="13" s="1"/>
  <c r="B263" i="13" s="1"/>
  <c r="B267" i="13" s="1"/>
  <c r="F556" i="12"/>
  <c r="G556" i="12" s="1"/>
  <c r="G539" i="12"/>
  <c r="B370" i="12"/>
  <c r="B374" i="12"/>
  <c r="B378" i="12" s="1"/>
  <c r="B384" i="12" s="1"/>
  <c r="B389" i="12" s="1"/>
  <c r="B393" i="12" s="1"/>
  <c r="B398" i="12" s="1"/>
  <c r="B403" i="12" s="1"/>
  <c r="B407" i="12" s="1"/>
  <c r="B411" i="12" s="1"/>
  <c r="B425" i="12" s="1"/>
  <c r="B418" i="12" s="1"/>
  <c r="B422" i="12" s="1"/>
  <c r="B428" i="12" s="1"/>
  <c r="B432" i="12" s="1"/>
  <c r="B437" i="12" s="1"/>
  <c r="B446" i="12" s="1"/>
  <c r="B452" i="12" s="1"/>
  <c r="B461" i="12" s="1"/>
  <c r="B465" i="12" s="1"/>
  <c r="B469" i="12" s="1"/>
  <c r="B473" i="12" s="1"/>
  <c r="B477" i="12" s="1"/>
  <c r="B481" i="12" s="1"/>
  <c r="B485" i="12" s="1"/>
  <c r="B489" i="12" s="1"/>
  <c r="B493" i="12" s="1"/>
  <c r="B498" i="12" s="1"/>
  <c r="B506" i="12" s="1"/>
  <c r="B510" i="12" s="1"/>
  <c r="B514" i="12" s="1"/>
  <c r="B518" i="12" s="1"/>
  <c r="B522" i="12" s="1"/>
  <c r="B526" i="12" s="1"/>
  <c r="B530" i="12" s="1"/>
  <c r="B534" i="12" s="1"/>
  <c r="B538" i="12" s="1"/>
  <c r="B542" i="12" s="1"/>
  <c r="B546" i="12" s="1"/>
  <c r="B550" i="12" s="1"/>
  <c r="B288" i="12"/>
  <c r="B281" i="12" s="1"/>
  <c r="B274" i="12" s="1"/>
  <c r="B334" i="12"/>
  <c r="B240" i="13" l="1"/>
  <c r="B244" i="13" s="1"/>
  <c r="B248" i="13" s="1"/>
  <c r="B252" i="13" s="1"/>
  <c r="B256" i="13" s="1"/>
  <c r="B260" i="13" s="1"/>
  <c r="B264" i="13" s="1"/>
  <c r="B375" i="12"/>
  <c r="B380" i="12" s="1"/>
  <c r="B385" i="12" s="1"/>
  <c r="B390" i="12" s="1"/>
  <c r="B394" i="12" s="1"/>
  <c r="B400" i="12" s="1"/>
  <c r="B404" i="12" s="1"/>
  <c r="B408" i="12" s="1"/>
  <c r="B413" i="12" s="1"/>
  <c r="B415" i="12" s="1"/>
  <c r="B419" i="12" s="1"/>
  <c r="B423" i="12" s="1"/>
  <c r="B429" i="12" s="1"/>
  <c r="B434" i="12" s="1"/>
  <c r="B443" i="12" s="1"/>
  <c r="B447" i="12" s="1"/>
  <c r="B458" i="12" s="1"/>
  <c r="B462" i="12" s="1"/>
  <c r="B466" i="12" s="1"/>
  <c r="B470" i="12" s="1"/>
  <c r="B474" i="12" s="1"/>
  <c r="B478" i="12" s="1"/>
  <c r="B482" i="12" s="1"/>
  <c r="B486" i="12" s="1"/>
  <c r="B490" i="12" s="1"/>
  <c r="B494" i="12" s="1"/>
  <c r="B499" i="12" s="1"/>
  <c r="B507" i="12" s="1"/>
  <c r="B511" i="12" s="1"/>
  <c r="B515" i="12" s="1"/>
  <c r="B519" i="12" s="1"/>
  <c r="B523" i="12" s="1"/>
  <c r="B527" i="12" s="1"/>
  <c r="B531" i="12" s="1"/>
  <c r="B535" i="12" s="1"/>
  <c r="B539" i="12" s="1"/>
  <c r="B543" i="12" s="1"/>
  <c r="B547" i="12" s="1"/>
  <c r="B554" i="12" s="1"/>
  <c r="B371" i="12"/>
  <c r="B241" i="13" l="1"/>
  <c r="B245" i="13" s="1"/>
  <c r="B249" i="13" s="1"/>
  <c r="B253" i="13" s="1"/>
  <c r="B257" i="13" s="1"/>
  <c r="B261" i="13" s="1"/>
  <c r="B265" i="13" s="1"/>
  <c r="B242" i="13"/>
  <c r="B246" i="13" s="1"/>
  <c r="B250" i="13" s="1"/>
  <c r="B254" i="13" s="1"/>
  <c r="B258" i="13" s="1"/>
  <c r="B262" i="13" s="1"/>
  <c r="B266" i="13" s="1"/>
  <c r="B372" i="12"/>
  <c r="B377" i="12" s="1"/>
  <c r="B383" i="12" s="1"/>
  <c r="B387" i="12" s="1"/>
  <c r="B392" i="12" s="1"/>
  <c r="B397" i="12" s="1"/>
  <c r="B402" i="12" s="1"/>
  <c r="B406" i="12" s="1"/>
  <c r="B410" i="12" s="1"/>
  <c r="B424" i="12" s="1"/>
  <c r="B417" i="12" s="1"/>
  <c r="B421" i="12" s="1"/>
  <c r="B427" i="12" s="1"/>
  <c r="B431" i="12" s="1"/>
  <c r="B436" i="12" s="1"/>
  <c r="B445" i="12" s="1"/>
  <c r="B449" i="12" s="1"/>
  <c r="B460" i="12" s="1"/>
  <c r="B464" i="12" s="1"/>
  <c r="B468" i="12" s="1"/>
  <c r="B472" i="12" s="1"/>
  <c r="B476" i="12" s="1"/>
  <c r="B480" i="12" s="1"/>
  <c r="B484" i="12" s="1"/>
  <c r="B488" i="12" s="1"/>
  <c r="B492" i="12" s="1"/>
  <c r="B497" i="12" s="1"/>
  <c r="B505" i="12" s="1"/>
  <c r="B509" i="12" s="1"/>
  <c r="B513" i="12" s="1"/>
  <c r="B517" i="12" s="1"/>
  <c r="B521" i="12" s="1"/>
  <c r="B525" i="12" s="1"/>
  <c r="B529" i="12" s="1"/>
  <c r="B533" i="12" s="1"/>
  <c r="B537" i="12" s="1"/>
  <c r="B541" i="12" s="1"/>
  <c r="B545" i="12" s="1"/>
  <c r="B549" i="12" s="1"/>
  <c r="B556" i="12" s="1"/>
  <c r="B376" i="12"/>
  <c r="B382" i="12" s="1"/>
  <c r="B386" i="12" s="1"/>
  <c r="B391" i="12" s="1"/>
  <c r="B395" i="12" s="1"/>
  <c r="B401" i="12" s="1"/>
  <c r="B405" i="12" s="1"/>
  <c r="B409" i="12" s="1"/>
  <c r="B414" i="12" s="1"/>
  <c r="B416" i="12" s="1"/>
  <c r="B420" i="12" s="1"/>
  <c r="B426" i="12" s="1"/>
  <c r="B430" i="12" s="1"/>
  <c r="B435" i="12" s="1"/>
  <c r="B444" i="12" s="1"/>
  <c r="B448" i="12" s="1"/>
  <c r="B459" i="12" s="1"/>
  <c r="B463" i="12" s="1"/>
  <c r="B467" i="12" s="1"/>
  <c r="B471" i="12" s="1"/>
  <c r="B475" i="12" s="1"/>
  <c r="B479" i="12" s="1"/>
  <c r="B483" i="12" s="1"/>
  <c r="B487" i="12" s="1"/>
  <c r="B491" i="12" s="1"/>
  <c r="B496" i="12" s="1"/>
  <c r="B504" i="12" s="1"/>
  <c r="B508" i="12" s="1"/>
  <c r="B512" i="12" s="1"/>
  <c r="B516" i="12" s="1"/>
  <c r="B520" i="12" s="1"/>
  <c r="B524" i="12" s="1"/>
  <c r="B528" i="12" s="1"/>
  <c r="B532" i="12" s="1"/>
  <c r="B536" i="12" s="1"/>
  <c r="B540" i="12" s="1"/>
  <c r="B544" i="12" s="1"/>
  <c r="B548" i="12" s="1"/>
  <c r="B555" i="12" s="1"/>
  <c r="S106" i="11" l="1"/>
  <c r="S73" i="9"/>
  <c r="T10" i="9"/>
  <c r="T70" i="5"/>
  <c r="T10" i="5"/>
  <c r="S115" i="5"/>
  <c r="R115" i="5" l="1"/>
  <c r="T73" i="9"/>
  <c r="Q115" i="5"/>
  <c r="Q107" i="11" s="1"/>
  <c r="Q106" i="11"/>
  <c r="T106" i="11"/>
  <c r="R73" i="9"/>
  <c r="T115" i="5"/>
  <c r="R107" i="11" l="1"/>
  <c r="K181" i="13"/>
  <c r="L181" i="13"/>
  <c r="M181" i="13"/>
  <c r="J181" i="13"/>
  <c r="E181" i="13"/>
  <c r="F181" i="13"/>
  <c r="Q181" i="13"/>
  <c r="G181" i="13"/>
  <c r="I181" i="13"/>
  <c r="P18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michela bagnacci</author>
    <author>annaclaudia bonifazi</author>
    <author>Giulia Fedeli</author>
  </authors>
  <commentList>
    <comment ref="D13" authorId="0" shapeId="0" xr:uid="{00000000-0006-0000-0000-000001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E13" authorId="0" shapeId="0" xr:uid="{00000000-0006-0000-0000-000002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F13" authorId="0" shapeId="0" xr:uid="{00000000-0006-0000-0000-000003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H13" authorId="0" shapeId="0" xr:uid="{00000000-0006-0000-0000-000004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N13" authorId="0" shapeId="0" xr:uid="{00000000-0006-0000-0000-000005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O13" authorId="0" shapeId="0" xr:uid="{00000000-0006-0000-0000-000006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D26" authorId="0" shapeId="0" xr:uid="{00000000-0006-0000-0000-000007000000}">
      <text>
        <r>
          <rPr>
            <b/>
            <sz val="8"/>
            <color indexed="81"/>
            <rFont val="Tahoma"/>
            <family val="2"/>
          </rPr>
          <t>michela bagnacci:</t>
        </r>
        <r>
          <rPr>
            <sz val="8"/>
            <color indexed="81"/>
            <rFont val="Tahoma"/>
            <family val="2"/>
          </rPr>
          <t xml:space="preserve">
considerati a 0 per il 2021</t>
        </r>
      </text>
    </comment>
    <comment ref="E26" authorId="0" shapeId="0" xr:uid="{00000000-0006-0000-0000-000008000000}">
      <text>
        <r>
          <rPr>
            <b/>
            <sz val="8"/>
            <color indexed="81"/>
            <rFont val="Tahoma"/>
            <family val="2"/>
          </rPr>
          <t>michela bagnacci:</t>
        </r>
        <r>
          <rPr>
            <sz val="8"/>
            <color indexed="81"/>
            <rFont val="Tahoma"/>
            <family val="2"/>
          </rPr>
          <t xml:space="preserve">
considerati a 0 per il 2021</t>
        </r>
      </text>
    </comment>
    <comment ref="F26" authorId="0" shapeId="0" xr:uid="{00000000-0006-0000-0000-000009000000}">
      <text>
        <r>
          <rPr>
            <b/>
            <sz val="8"/>
            <color indexed="81"/>
            <rFont val="Tahoma"/>
            <family val="2"/>
          </rPr>
          <t>michela bagnacci:</t>
        </r>
        <r>
          <rPr>
            <sz val="8"/>
            <color indexed="81"/>
            <rFont val="Tahoma"/>
            <family val="2"/>
          </rPr>
          <t xml:space="preserve">
considerati a 0 per il 2021</t>
        </r>
      </text>
    </comment>
    <comment ref="H26" authorId="0" shapeId="0" xr:uid="{00000000-0006-0000-0000-00000A000000}">
      <text>
        <r>
          <rPr>
            <b/>
            <sz val="8"/>
            <color indexed="81"/>
            <rFont val="Tahoma"/>
            <family val="2"/>
          </rPr>
          <t>michela bagnacci:</t>
        </r>
        <r>
          <rPr>
            <sz val="8"/>
            <color indexed="81"/>
            <rFont val="Tahoma"/>
            <family val="2"/>
          </rPr>
          <t xml:space="preserve">
considerati a 0 per il 2021</t>
        </r>
      </text>
    </comment>
    <comment ref="N26" authorId="0" shapeId="0" xr:uid="{00000000-0006-0000-0000-00000B000000}">
      <text>
        <r>
          <rPr>
            <b/>
            <sz val="8"/>
            <color indexed="81"/>
            <rFont val="Tahoma"/>
            <family val="2"/>
          </rPr>
          <t>michela bagnacci:</t>
        </r>
        <r>
          <rPr>
            <sz val="8"/>
            <color indexed="81"/>
            <rFont val="Tahoma"/>
            <family val="2"/>
          </rPr>
          <t xml:space="preserve">
considerati a 0 per il 2021</t>
        </r>
      </text>
    </comment>
    <comment ref="O26" authorId="0" shapeId="0" xr:uid="{00000000-0006-0000-0000-00000C000000}">
      <text>
        <r>
          <rPr>
            <b/>
            <sz val="8"/>
            <color indexed="81"/>
            <rFont val="Tahoma"/>
            <family val="2"/>
          </rPr>
          <t>michela bagnacci:</t>
        </r>
        <r>
          <rPr>
            <sz val="8"/>
            <color indexed="81"/>
            <rFont val="Tahoma"/>
            <family val="2"/>
          </rPr>
          <t xml:space="preserve">
considerati a 0 per il 2021</t>
        </r>
      </text>
    </comment>
    <comment ref="D27" authorId="0" shapeId="0" xr:uid="{00000000-0006-0000-0000-00000D000000}">
      <text>
        <r>
          <rPr>
            <b/>
            <sz val="8"/>
            <color indexed="81"/>
            <rFont val="Tahoma"/>
            <family val="2"/>
          </rPr>
          <t>michela bagnacci:</t>
        </r>
        <r>
          <rPr>
            <sz val="8"/>
            <color indexed="81"/>
            <rFont val="Tahoma"/>
            <family val="2"/>
          </rPr>
          <t xml:space="preserve">
considerati a 0 per il 2021</t>
        </r>
      </text>
    </comment>
    <comment ref="E27" authorId="0" shapeId="0" xr:uid="{00000000-0006-0000-0000-00000E000000}">
      <text>
        <r>
          <rPr>
            <b/>
            <sz val="8"/>
            <color indexed="81"/>
            <rFont val="Tahoma"/>
            <family val="2"/>
          </rPr>
          <t>michela bagnacci:</t>
        </r>
        <r>
          <rPr>
            <sz val="8"/>
            <color indexed="81"/>
            <rFont val="Tahoma"/>
            <family val="2"/>
          </rPr>
          <t xml:space="preserve">
considerati a 0 per il 2021</t>
        </r>
      </text>
    </comment>
    <comment ref="F27" authorId="0" shapeId="0" xr:uid="{00000000-0006-0000-0000-00000F000000}">
      <text>
        <r>
          <rPr>
            <b/>
            <sz val="8"/>
            <color indexed="81"/>
            <rFont val="Tahoma"/>
            <family val="2"/>
          </rPr>
          <t>michela bagnacci:</t>
        </r>
        <r>
          <rPr>
            <sz val="8"/>
            <color indexed="81"/>
            <rFont val="Tahoma"/>
            <family val="2"/>
          </rPr>
          <t xml:space="preserve">
considerati a 0 per il 2021</t>
        </r>
      </text>
    </comment>
    <comment ref="H27" authorId="0" shapeId="0" xr:uid="{00000000-0006-0000-0000-000010000000}">
      <text>
        <r>
          <rPr>
            <b/>
            <sz val="8"/>
            <color indexed="81"/>
            <rFont val="Tahoma"/>
            <family val="2"/>
          </rPr>
          <t>michela bagnacci:</t>
        </r>
        <r>
          <rPr>
            <sz val="8"/>
            <color indexed="81"/>
            <rFont val="Tahoma"/>
            <family val="2"/>
          </rPr>
          <t xml:space="preserve">
considerati a 0 per il 2021</t>
        </r>
      </text>
    </comment>
    <comment ref="N27" authorId="0" shapeId="0" xr:uid="{00000000-0006-0000-0000-000011000000}">
      <text>
        <r>
          <rPr>
            <b/>
            <sz val="8"/>
            <color indexed="81"/>
            <rFont val="Tahoma"/>
            <family val="2"/>
          </rPr>
          <t>michela bagnacci:</t>
        </r>
        <r>
          <rPr>
            <sz val="8"/>
            <color indexed="81"/>
            <rFont val="Tahoma"/>
            <family val="2"/>
          </rPr>
          <t xml:space="preserve">
considerati a 0 per il 2021</t>
        </r>
      </text>
    </comment>
    <comment ref="O27" authorId="0" shapeId="0" xr:uid="{00000000-0006-0000-0000-000012000000}">
      <text>
        <r>
          <rPr>
            <b/>
            <sz val="8"/>
            <color indexed="81"/>
            <rFont val="Tahoma"/>
            <family val="2"/>
          </rPr>
          <t>michela bagnacci:</t>
        </r>
        <r>
          <rPr>
            <sz val="8"/>
            <color indexed="81"/>
            <rFont val="Tahoma"/>
            <family val="2"/>
          </rPr>
          <t xml:space="preserve">
considerati a 0 per il 2021</t>
        </r>
      </text>
    </comment>
    <comment ref="D35" authorId="0" shapeId="0" xr:uid="{00000000-0006-0000-0000-000013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E35" authorId="0" shapeId="0" xr:uid="{00000000-0006-0000-0000-000014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F35" authorId="0" shapeId="0" xr:uid="{00000000-0006-0000-0000-000015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H35" authorId="0" shapeId="0" xr:uid="{00000000-0006-0000-0000-000016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N35" authorId="0" shapeId="0" xr:uid="{00000000-0006-0000-0000-000017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O35" authorId="0" shapeId="0" xr:uid="{00000000-0006-0000-0000-000018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D95" authorId="0" shapeId="0" xr:uid="{00000000-0006-0000-0000-000019000000}">
      <text>
        <r>
          <rPr>
            <b/>
            <sz val="8"/>
            <color indexed="81"/>
            <rFont val="Tahoma"/>
            <family val="2"/>
          </rPr>
          <t>michela bagnacci:</t>
        </r>
        <r>
          <rPr>
            <sz val="8"/>
            <color indexed="81"/>
            <rFont val="Tahoma"/>
            <family val="2"/>
          </rPr>
          <t xml:space="preserve">
attenzione trovare 1000 euro di differenza</t>
        </r>
      </text>
    </comment>
    <comment ref="E95" authorId="0" shapeId="0" xr:uid="{00000000-0006-0000-0000-00001A000000}">
      <text>
        <r>
          <rPr>
            <b/>
            <sz val="8"/>
            <color indexed="81"/>
            <rFont val="Tahoma"/>
            <family val="2"/>
          </rPr>
          <t>michela bagnacci:</t>
        </r>
        <r>
          <rPr>
            <sz val="8"/>
            <color indexed="81"/>
            <rFont val="Tahoma"/>
            <family val="2"/>
          </rPr>
          <t xml:space="preserve">
attenzione trovare 1000 euro di differenza</t>
        </r>
      </text>
    </comment>
    <comment ref="F95" authorId="0" shapeId="0" xr:uid="{00000000-0006-0000-0000-00001B000000}">
      <text>
        <r>
          <rPr>
            <b/>
            <sz val="8"/>
            <color indexed="81"/>
            <rFont val="Tahoma"/>
            <family val="2"/>
          </rPr>
          <t>michela bagnacci:</t>
        </r>
        <r>
          <rPr>
            <sz val="8"/>
            <color indexed="81"/>
            <rFont val="Tahoma"/>
            <family val="2"/>
          </rPr>
          <t xml:space="preserve">
attenzione trovare 1000 euro di differenza</t>
        </r>
      </text>
    </comment>
    <comment ref="H96" authorId="1" shapeId="0" xr:uid="{00000000-0006-0000-0000-00001C000000}">
      <text>
        <r>
          <rPr>
            <b/>
            <sz val="9"/>
            <color indexed="81"/>
            <rFont val="Tahoma"/>
            <family val="2"/>
          </rPr>
          <t>annaclaudia bonifazi:</t>
        </r>
        <r>
          <rPr>
            <sz val="9"/>
            <color indexed="81"/>
            <rFont val="Tahoma"/>
            <family val="2"/>
          </rPr>
          <t xml:space="preserve">
stimato un aumento del 30% per aumento costo materie prime sul 2021
</t>
        </r>
      </text>
    </comment>
    <comment ref="N96" authorId="1" shapeId="0" xr:uid="{00000000-0006-0000-0000-00001D000000}">
      <text>
        <r>
          <rPr>
            <b/>
            <sz val="9"/>
            <color indexed="81"/>
            <rFont val="Tahoma"/>
            <family val="2"/>
          </rPr>
          <t>annaclaudia bonifazi:</t>
        </r>
        <r>
          <rPr>
            <sz val="9"/>
            <color indexed="81"/>
            <rFont val="Tahoma"/>
            <family val="2"/>
          </rPr>
          <t xml:space="preserve">
stimato un aumento del 30% per aumento costo materie prime</t>
        </r>
      </text>
    </comment>
    <comment ref="O96" authorId="1" shapeId="0" xr:uid="{00000000-0006-0000-0000-00001E000000}">
      <text>
        <r>
          <rPr>
            <b/>
            <sz val="9"/>
            <color indexed="81"/>
            <rFont val="Tahoma"/>
            <family val="2"/>
          </rPr>
          <t>annaclaudia bonifazi:</t>
        </r>
        <r>
          <rPr>
            <sz val="9"/>
            <color indexed="81"/>
            <rFont val="Tahoma"/>
            <family val="2"/>
          </rPr>
          <t xml:space="preserve">
stimato un aumento del 30% per aumento costo materie prime</t>
        </r>
      </text>
    </comment>
    <comment ref="H99" authorId="1" shapeId="0" xr:uid="{00000000-0006-0000-0000-00001F000000}">
      <text>
        <r>
          <rPr>
            <b/>
            <sz val="9"/>
            <color indexed="81"/>
            <rFont val="Tahoma"/>
            <family val="2"/>
          </rPr>
          <t>annaclaudia bonifazi:</t>
        </r>
        <r>
          <rPr>
            <sz val="9"/>
            <color indexed="81"/>
            <rFont val="Tahoma"/>
            <family val="2"/>
          </rPr>
          <t xml:space="preserve">
aumento del 30% per aumento prezzi sul 2021
</t>
        </r>
      </text>
    </comment>
    <comment ref="N99" authorId="1" shapeId="0" xr:uid="{00000000-0006-0000-0000-000020000000}">
      <text>
        <r>
          <rPr>
            <b/>
            <sz val="9"/>
            <color indexed="81"/>
            <rFont val="Tahoma"/>
            <family val="2"/>
          </rPr>
          <t>annaclaudia bonifazi:</t>
        </r>
        <r>
          <rPr>
            <sz val="9"/>
            <color indexed="81"/>
            <rFont val="Tahoma"/>
            <family val="2"/>
          </rPr>
          <t xml:space="preserve">
aumento del 30% per aumento prezzi
</t>
        </r>
      </text>
    </comment>
    <comment ref="O99" authorId="1" shapeId="0" xr:uid="{00000000-0006-0000-0000-000021000000}">
      <text>
        <r>
          <rPr>
            <b/>
            <sz val="9"/>
            <color indexed="81"/>
            <rFont val="Tahoma"/>
            <family val="2"/>
          </rPr>
          <t>annaclaudia bonifazi:</t>
        </r>
        <r>
          <rPr>
            <sz val="9"/>
            <color indexed="81"/>
            <rFont val="Tahoma"/>
            <family val="2"/>
          </rPr>
          <t xml:space="preserve">
aumento del 30% per aumento prezzi
</t>
        </r>
      </text>
    </comment>
    <comment ref="H176" authorId="0" shapeId="0" xr:uid="{00000000-0006-0000-0000-000022000000}">
      <text>
        <r>
          <rPr>
            <b/>
            <sz val="9"/>
            <color indexed="81"/>
            <rFont val="Tahoma"/>
            <family val="2"/>
          </rPr>
          <t>michela bagnacci:</t>
        </r>
        <r>
          <rPr>
            <sz val="9"/>
            <color indexed="81"/>
            <rFont val="Tahoma"/>
            <family val="2"/>
          </rPr>
          <t xml:space="preserve">
inserito 238,000 al netto delle manutenzioni cicliche di 100,000 euro
</t>
        </r>
      </text>
    </comment>
    <comment ref="S203" authorId="2" shapeId="0" xr:uid="{00000000-0006-0000-0000-000023000000}">
      <text>
        <r>
          <rPr>
            <b/>
            <sz val="9"/>
            <color indexed="81"/>
            <rFont val="Tahoma"/>
            <family val="2"/>
          </rPr>
          <t>Giulia Fedeli:</t>
        </r>
        <r>
          <rPr>
            <sz val="9"/>
            <color indexed="81"/>
            <rFont val="Tahoma"/>
            <family val="2"/>
          </rPr>
          <t xml:space="preserve">
manca la parte contributi
</t>
        </r>
      </text>
    </comment>
    <comment ref="S224" authorId="2" shapeId="0" xr:uid="{00000000-0006-0000-0000-000024000000}">
      <text>
        <r>
          <rPr>
            <b/>
            <sz val="9"/>
            <color indexed="81"/>
            <rFont val="Tahoma"/>
            <family val="2"/>
          </rPr>
          <t>Giulia Fedeli:</t>
        </r>
        <r>
          <rPr>
            <sz val="9"/>
            <color indexed="81"/>
            <rFont val="Tahoma"/>
            <family val="2"/>
          </rPr>
          <t xml:space="preserve">
da aggiungere gli ausiliari ed eventuali nuovi assunti</t>
        </r>
      </text>
    </comment>
    <comment ref="H236" authorId="1" shapeId="0" xr:uid="{00000000-0006-0000-0000-000025000000}">
      <text>
        <r>
          <rPr>
            <b/>
            <sz val="9"/>
            <color indexed="81"/>
            <rFont val="Tahoma"/>
            <family val="2"/>
          </rPr>
          <t>annaclaudia bonifazi:</t>
        </r>
        <r>
          <rPr>
            <sz val="9"/>
            <color indexed="81"/>
            <rFont val="Tahoma"/>
            <family val="2"/>
          </rPr>
          <t xml:space="preserve">
aument previsto del 50% aumento costi materie prime
</t>
        </r>
      </text>
    </comment>
    <comment ref="N236" authorId="1" shapeId="0" xr:uid="{00000000-0006-0000-0000-000026000000}">
      <text>
        <r>
          <rPr>
            <b/>
            <sz val="9"/>
            <color indexed="81"/>
            <rFont val="Tahoma"/>
            <family val="2"/>
          </rPr>
          <t>annaclaudia bonifazi:</t>
        </r>
        <r>
          <rPr>
            <sz val="9"/>
            <color indexed="81"/>
            <rFont val="Tahoma"/>
            <family val="2"/>
          </rPr>
          <t xml:space="preserve">
aument previsto del 50% aumento costi materie prime
</t>
        </r>
      </text>
    </comment>
    <comment ref="O236" authorId="1" shapeId="0" xr:uid="{00000000-0006-0000-0000-000027000000}">
      <text>
        <r>
          <rPr>
            <b/>
            <sz val="9"/>
            <color indexed="81"/>
            <rFont val="Tahoma"/>
            <family val="2"/>
          </rPr>
          <t>annaclaudia bonifazi:</t>
        </r>
        <r>
          <rPr>
            <sz val="9"/>
            <color indexed="81"/>
            <rFont val="Tahoma"/>
            <family val="2"/>
          </rPr>
          <t xml:space="preserve">
aument previsto del 50% aumento costi materie prime
</t>
        </r>
      </text>
    </comment>
    <comment ref="H290" authorId="0" shapeId="0" xr:uid="{00000000-0006-0000-0000-000028000000}">
      <text>
        <r>
          <rPr>
            <b/>
            <sz val="9"/>
            <color indexed="81"/>
            <rFont val="Tahoma"/>
            <family val="2"/>
          </rPr>
          <t>michela bagnacci:</t>
        </r>
        <r>
          <rPr>
            <sz val="9"/>
            <color indexed="81"/>
            <rFont val="Tahoma"/>
            <family val="2"/>
          </rPr>
          <t xml:space="preserve">
costo totale 42,000 annuo - competenza 2022 solo per 9 mesi da aprile a dicembre 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michela bagnacci</author>
    <author>annaclaudia bonifazi</author>
    <author>Giulia Fedeli</author>
  </authors>
  <commentList>
    <comment ref="D13" authorId="0" shapeId="0" xr:uid="{00000000-0006-0000-0100-000001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E13" authorId="0" shapeId="0" xr:uid="{00000000-0006-0000-0100-000002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F13" authorId="0" shapeId="0" xr:uid="{00000000-0006-0000-0100-000003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H13" authorId="0" shapeId="0" xr:uid="{00000000-0006-0000-0100-000004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P13" authorId="0" shapeId="0" xr:uid="{00000000-0006-0000-0100-000005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Q13" authorId="0" shapeId="0" xr:uid="{00000000-0006-0000-0100-000006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D26" authorId="0" shapeId="0" xr:uid="{00000000-0006-0000-0100-000007000000}">
      <text>
        <r>
          <rPr>
            <b/>
            <sz val="8"/>
            <color indexed="81"/>
            <rFont val="Tahoma"/>
            <family val="2"/>
          </rPr>
          <t>michela bagnacci:</t>
        </r>
        <r>
          <rPr>
            <sz val="8"/>
            <color indexed="81"/>
            <rFont val="Tahoma"/>
            <family val="2"/>
          </rPr>
          <t xml:space="preserve">
considerati a 0 per il 2021</t>
        </r>
      </text>
    </comment>
    <comment ref="E26" authorId="0" shapeId="0" xr:uid="{00000000-0006-0000-0100-000008000000}">
      <text>
        <r>
          <rPr>
            <b/>
            <sz val="8"/>
            <color indexed="81"/>
            <rFont val="Tahoma"/>
            <family val="2"/>
          </rPr>
          <t>michela bagnacci:</t>
        </r>
        <r>
          <rPr>
            <sz val="8"/>
            <color indexed="81"/>
            <rFont val="Tahoma"/>
            <family val="2"/>
          </rPr>
          <t xml:space="preserve">
considerati a 0 per il 2021</t>
        </r>
      </text>
    </comment>
    <comment ref="F26" authorId="0" shapeId="0" xr:uid="{00000000-0006-0000-0100-000009000000}">
      <text>
        <r>
          <rPr>
            <b/>
            <sz val="8"/>
            <color indexed="81"/>
            <rFont val="Tahoma"/>
            <family val="2"/>
          </rPr>
          <t>michela bagnacci:</t>
        </r>
        <r>
          <rPr>
            <sz val="8"/>
            <color indexed="81"/>
            <rFont val="Tahoma"/>
            <family val="2"/>
          </rPr>
          <t xml:space="preserve">
considerati a 0 per il 2021</t>
        </r>
      </text>
    </comment>
    <comment ref="H26" authorId="0" shapeId="0" xr:uid="{00000000-0006-0000-0100-00000A000000}">
      <text>
        <r>
          <rPr>
            <b/>
            <sz val="8"/>
            <color indexed="81"/>
            <rFont val="Tahoma"/>
            <family val="2"/>
          </rPr>
          <t>michela bagnacci:</t>
        </r>
        <r>
          <rPr>
            <sz val="8"/>
            <color indexed="81"/>
            <rFont val="Tahoma"/>
            <family val="2"/>
          </rPr>
          <t xml:space="preserve">
considerati a 0 per il 2021</t>
        </r>
      </text>
    </comment>
    <comment ref="P26" authorId="0" shapeId="0" xr:uid="{00000000-0006-0000-0100-00000B000000}">
      <text>
        <r>
          <rPr>
            <b/>
            <sz val="8"/>
            <color indexed="81"/>
            <rFont val="Tahoma"/>
            <family val="2"/>
          </rPr>
          <t>michela bagnacci:</t>
        </r>
        <r>
          <rPr>
            <sz val="8"/>
            <color indexed="81"/>
            <rFont val="Tahoma"/>
            <family val="2"/>
          </rPr>
          <t xml:space="preserve">
considerati a 0 per il 2021</t>
        </r>
      </text>
    </comment>
    <comment ref="Q26" authorId="0" shapeId="0" xr:uid="{00000000-0006-0000-0100-00000C000000}">
      <text>
        <r>
          <rPr>
            <b/>
            <sz val="8"/>
            <color indexed="81"/>
            <rFont val="Tahoma"/>
            <family val="2"/>
          </rPr>
          <t>michela bagnacci:</t>
        </r>
        <r>
          <rPr>
            <sz val="8"/>
            <color indexed="81"/>
            <rFont val="Tahoma"/>
            <family val="2"/>
          </rPr>
          <t xml:space="preserve">
considerati a 0 per il 2021</t>
        </r>
      </text>
    </comment>
    <comment ref="D27" authorId="0" shapeId="0" xr:uid="{00000000-0006-0000-0100-00000D000000}">
      <text>
        <r>
          <rPr>
            <b/>
            <sz val="8"/>
            <color indexed="81"/>
            <rFont val="Tahoma"/>
            <family val="2"/>
          </rPr>
          <t>michela bagnacci:</t>
        </r>
        <r>
          <rPr>
            <sz val="8"/>
            <color indexed="81"/>
            <rFont val="Tahoma"/>
            <family val="2"/>
          </rPr>
          <t xml:space="preserve">
considerati a 0 per il 2021</t>
        </r>
      </text>
    </comment>
    <comment ref="E27" authorId="0" shapeId="0" xr:uid="{00000000-0006-0000-0100-00000E000000}">
      <text>
        <r>
          <rPr>
            <b/>
            <sz val="8"/>
            <color indexed="81"/>
            <rFont val="Tahoma"/>
            <family val="2"/>
          </rPr>
          <t>michela bagnacci:</t>
        </r>
        <r>
          <rPr>
            <sz val="8"/>
            <color indexed="81"/>
            <rFont val="Tahoma"/>
            <family val="2"/>
          </rPr>
          <t xml:space="preserve">
considerati a 0 per il 2021</t>
        </r>
      </text>
    </comment>
    <comment ref="F27" authorId="0" shapeId="0" xr:uid="{00000000-0006-0000-0100-00000F000000}">
      <text>
        <r>
          <rPr>
            <b/>
            <sz val="8"/>
            <color indexed="81"/>
            <rFont val="Tahoma"/>
            <family val="2"/>
          </rPr>
          <t>michela bagnacci:</t>
        </r>
        <r>
          <rPr>
            <sz val="8"/>
            <color indexed="81"/>
            <rFont val="Tahoma"/>
            <family val="2"/>
          </rPr>
          <t xml:space="preserve">
considerati a 0 per il 2021</t>
        </r>
      </text>
    </comment>
    <comment ref="H27" authorId="0" shapeId="0" xr:uid="{00000000-0006-0000-0100-000010000000}">
      <text>
        <r>
          <rPr>
            <b/>
            <sz val="8"/>
            <color indexed="81"/>
            <rFont val="Tahoma"/>
            <family val="2"/>
          </rPr>
          <t>michela bagnacci:</t>
        </r>
        <r>
          <rPr>
            <sz val="8"/>
            <color indexed="81"/>
            <rFont val="Tahoma"/>
            <family val="2"/>
          </rPr>
          <t xml:space="preserve">
considerati a 0 per il 2021</t>
        </r>
      </text>
    </comment>
    <comment ref="P27" authorId="0" shapeId="0" xr:uid="{00000000-0006-0000-0100-000011000000}">
      <text>
        <r>
          <rPr>
            <b/>
            <sz val="8"/>
            <color indexed="81"/>
            <rFont val="Tahoma"/>
            <family val="2"/>
          </rPr>
          <t>michela bagnacci:</t>
        </r>
        <r>
          <rPr>
            <sz val="8"/>
            <color indexed="81"/>
            <rFont val="Tahoma"/>
            <family val="2"/>
          </rPr>
          <t xml:space="preserve">
considerati a 0 per il 2021</t>
        </r>
      </text>
    </comment>
    <comment ref="Q27" authorId="0" shapeId="0" xr:uid="{00000000-0006-0000-0100-000012000000}">
      <text>
        <r>
          <rPr>
            <b/>
            <sz val="8"/>
            <color indexed="81"/>
            <rFont val="Tahoma"/>
            <family val="2"/>
          </rPr>
          <t>michela bagnacci:</t>
        </r>
        <r>
          <rPr>
            <sz val="8"/>
            <color indexed="81"/>
            <rFont val="Tahoma"/>
            <family val="2"/>
          </rPr>
          <t xml:space="preserve">
considerati a 0 per il 2021</t>
        </r>
      </text>
    </comment>
    <comment ref="D35" authorId="0" shapeId="0" xr:uid="{00000000-0006-0000-0100-000013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E35" authorId="0" shapeId="0" xr:uid="{00000000-0006-0000-0100-000014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F35" authorId="0" shapeId="0" xr:uid="{00000000-0006-0000-0100-000015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H35" authorId="0" shapeId="0" xr:uid="{00000000-0006-0000-0100-000016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P35" authorId="0" shapeId="0" xr:uid="{00000000-0006-0000-0100-000017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Q35" authorId="0" shapeId="0" xr:uid="{00000000-0006-0000-0100-000018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H89" authorId="1" shapeId="0" xr:uid="{00000000-0006-0000-0100-000019000000}">
      <text>
        <r>
          <rPr>
            <b/>
            <sz val="9"/>
            <color indexed="81"/>
            <rFont val="Tahoma"/>
            <family val="2"/>
          </rPr>
          <t>annaclaudia bonifazi:</t>
        </r>
        <r>
          <rPr>
            <sz val="9"/>
            <color indexed="81"/>
            <rFont val="Tahoma"/>
            <family val="2"/>
          </rPr>
          <t xml:space="preserve">
stimato un aumento del 30% per aumento costo materie prime sul 2021
</t>
        </r>
      </text>
    </comment>
    <comment ref="P89" authorId="1" shapeId="0" xr:uid="{00000000-0006-0000-0100-00001A000000}">
      <text>
        <r>
          <rPr>
            <b/>
            <sz val="9"/>
            <color indexed="81"/>
            <rFont val="Tahoma"/>
            <family val="2"/>
          </rPr>
          <t>annaclaudia bonifazi:</t>
        </r>
        <r>
          <rPr>
            <sz val="9"/>
            <color indexed="81"/>
            <rFont val="Tahoma"/>
            <family val="2"/>
          </rPr>
          <t xml:space="preserve">
stimato un aumento del 30% per aumento costo materie prime</t>
        </r>
      </text>
    </comment>
    <comment ref="Q89" authorId="1" shapeId="0" xr:uid="{00000000-0006-0000-0100-00001B000000}">
      <text>
        <r>
          <rPr>
            <b/>
            <sz val="9"/>
            <color indexed="81"/>
            <rFont val="Tahoma"/>
            <family val="2"/>
          </rPr>
          <t>annaclaudia bonifazi:</t>
        </r>
        <r>
          <rPr>
            <sz val="9"/>
            <color indexed="81"/>
            <rFont val="Tahoma"/>
            <family val="2"/>
          </rPr>
          <t xml:space="preserve">
stimato un aumento del 30% per aumento costo materie prime</t>
        </r>
      </text>
    </comment>
    <comment ref="H92" authorId="1" shapeId="0" xr:uid="{00000000-0006-0000-0100-00001C000000}">
      <text>
        <r>
          <rPr>
            <b/>
            <sz val="9"/>
            <color indexed="81"/>
            <rFont val="Tahoma"/>
            <family val="2"/>
          </rPr>
          <t>annaclaudia bonifazi:</t>
        </r>
        <r>
          <rPr>
            <sz val="9"/>
            <color indexed="81"/>
            <rFont val="Tahoma"/>
            <family val="2"/>
          </rPr>
          <t xml:space="preserve">
aumento del 30% per aumento prezzi sul 2021
</t>
        </r>
      </text>
    </comment>
    <comment ref="P92" authorId="1" shapeId="0" xr:uid="{00000000-0006-0000-0100-00001D000000}">
      <text>
        <r>
          <rPr>
            <b/>
            <sz val="9"/>
            <color indexed="81"/>
            <rFont val="Tahoma"/>
            <family val="2"/>
          </rPr>
          <t>annaclaudia bonifazi:</t>
        </r>
        <r>
          <rPr>
            <sz val="9"/>
            <color indexed="81"/>
            <rFont val="Tahoma"/>
            <family val="2"/>
          </rPr>
          <t xml:space="preserve">
aumento del 30% per aumento prezzi
</t>
        </r>
      </text>
    </comment>
    <comment ref="Q92" authorId="1" shapeId="0" xr:uid="{00000000-0006-0000-0100-00001E000000}">
      <text>
        <r>
          <rPr>
            <b/>
            <sz val="9"/>
            <color indexed="81"/>
            <rFont val="Tahoma"/>
            <family val="2"/>
          </rPr>
          <t>annaclaudia bonifazi:</t>
        </r>
        <r>
          <rPr>
            <sz val="9"/>
            <color indexed="81"/>
            <rFont val="Tahoma"/>
            <family val="2"/>
          </rPr>
          <t xml:space="preserve">
aumento del 30% per aumento prezzi
</t>
        </r>
      </text>
    </comment>
    <comment ref="H168" authorId="0" shapeId="0" xr:uid="{00000000-0006-0000-0100-00001F000000}">
      <text>
        <r>
          <rPr>
            <b/>
            <sz val="9"/>
            <color indexed="81"/>
            <rFont val="Tahoma"/>
            <family val="2"/>
          </rPr>
          <t>michela bagnacci:</t>
        </r>
        <r>
          <rPr>
            <sz val="9"/>
            <color indexed="81"/>
            <rFont val="Tahoma"/>
            <family val="2"/>
          </rPr>
          <t xml:space="preserve">
inserito 238,000 al netto delle manutenzioni cicliche di 100,000 euro
</t>
        </r>
      </text>
    </comment>
    <comment ref="U192" authorId="2" shapeId="0" xr:uid="{00000000-0006-0000-0100-000020000000}">
      <text>
        <r>
          <rPr>
            <b/>
            <sz val="9"/>
            <color indexed="81"/>
            <rFont val="Tahoma"/>
            <family val="2"/>
          </rPr>
          <t>Giulia Fedeli:</t>
        </r>
        <r>
          <rPr>
            <sz val="9"/>
            <color indexed="81"/>
            <rFont val="Tahoma"/>
            <family val="2"/>
          </rPr>
          <t xml:space="preserve">
manca la parte contributi
</t>
        </r>
      </text>
    </comment>
    <comment ref="U209" authorId="2" shapeId="0" xr:uid="{00000000-0006-0000-0100-000021000000}">
      <text>
        <r>
          <rPr>
            <b/>
            <sz val="9"/>
            <color indexed="81"/>
            <rFont val="Tahoma"/>
            <family val="2"/>
          </rPr>
          <t>Giulia Fedeli:</t>
        </r>
        <r>
          <rPr>
            <sz val="9"/>
            <color indexed="81"/>
            <rFont val="Tahoma"/>
            <family val="2"/>
          </rPr>
          <t xml:space="preserve">
da aggiungere gli ausiliari ed eventuali nuovi assunti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michela bagnacci</author>
    <author>annaclaudia bonifazi</author>
    <author>Giulia Fedeli</author>
  </authors>
  <commentList>
    <comment ref="C13" authorId="0" shapeId="0" xr:uid="{00000000-0006-0000-0300-000001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D13" authorId="0" shapeId="0" xr:uid="{00000000-0006-0000-0300-000002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E13" authorId="0" shapeId="0" xr:uid="{00000000-0006-0000-0300-000003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G13" authorId="0" shapeId="0" xr:uid="{00000000-0006-0000-0300-000004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O13" authorId="0" shapeId="0" xr:uid="{00000000-0006-0000-0300-000005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Q13" authorId="0" shapeId="0" xr:uid="{00000000-0006-0000-0300-000006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C26" authorId="0" shapeId="0" xr:uid="{00000000-0006-0000-0300-000007000000}">
      <text>
        <r>
          <rPr>
            <b/>
            <sz val="8"/>
            <color indexed="81"/>
            <rFont val="Tahoma"/>
            <family val="2"/>
          </rPr>
          <t>michela bagnacci:</t>
        </r>
        <r>
          <rPr>
            <sz val="8"/>
            <color indexed="81"/>
            <rFont val="Tahoma"/>
            <family val="2"/>
          </rPr>
          <t xml:space="preserve">
considerati a 0 per il 2021</t>
        </r>
      </text>
    </comment>
    <comment ref="D26" authorId="0" shapeId="0" xr:uid="{00000000-0006-0000-0300-000008000000}">
      <text>
        <r>
          <rPr>
            <b/>
            <sz val="8"/>
            <color indexed="81"/>
            <rFont val="Tahoma"/>
            <family val="2"/>
          </rPr>
          <t>michela bagnacci:</t>
        </r>
        <r>
          <rPr>
            <sz val="8"/>
            <color indexed="81"/>
            <rFont val="Tahoma"/>
            <family val="2"/>
          </rPr>
          <t xml:space="preserve">
considerati a 0 per il 2021</t>
        </r>
      </text>
    </comment>
    <comment ref="E26" authorId="0" shapeId="0" xr:uid="{00000000-0006-0000-0300-000009000000}">
      <text>
        <r>
          <rPr>
            <b/>
            <sz val="8"/>
            <color indexed="81"/>
            <rFont val="Tahoma"/>
            <family val="2"/>
          </rPr>
          <t>michela bagnacci:</t>
        </r>
        <r>
          <rPr>
            <sz val="8"/>
            <color indexed="81"/>
            <rFont val="Tahoma"/>
            <family val="2"/>
          </rPr>
          <t xml:space="preserve">
considerati a 0 per il 2021</t>
        </r>
      </text>
    </comment>
    <comment ref="G26" authorId="0" shapeId="0" xr:uid="{00000000-0006-0000-0300-00000A000000}">
      <text>
        <r>
          <rPr>
            <b/>
            <sz val="8"/>
            <color indexed="81"/>
            <rFont val="Tahoma"/>
            <family val="2"/>
          </rPr>
          <t>michela bagnacci:</t>
        </r>
        <r>
          <rPr>
            <sz val="8"/>
            <color indexed="81"/>
            <rFont val="Tahoma"/>
            <family val="2"/>
          </rPr>
          <t xml:space="preserve">
considerati a 0 per il 2021</t>
        </r>
      </text>
    </comment>
    <comment ref="O26" authorId="0" shapeId="0" xr:uid="{00000000-0006-0000-0300-00000B000000}">
      <text>
        <r>
          <rPr>
            <b/>
            <sz val="8"/>
            <color indexed="81"/>
            <rFont val="Tahoma"/>
            <family val="2"/>
          </rPr>
          <t>michela bagnacci:</t>
        </r>
        <r>
          <rPr>
            <sz val="8"/>
            <color indexed="81"/>
            <rFont val="Tahoma"/>
            <family val="2"/>
          </rPr>
          <t xml:space="preserve">
considerati a 0 per il 2021</t>
        </r>
      </text>
    </comment>
    <comment ref="Q26" authorId="0" shapeId="0" xr:uid="{00000000-0006-0000-0300-00000C000000}">
      <text>
        <r>
          <rPr>
            <b/>
            <sz val="8"/>
            <color indexed="81"/>
            <rFont val="Tahoma"/>
            <family val="2"/>
          </rPr>
          <t>michela bagnacci:</t>
        </r>
        <r>
          <rPr>
            <sz val="8"/>
            <color indexed="81"/>
            <rFont val="Tahoma"/>
            <family val="2"/>
          </rPr>
          <t xml:space="preserve">
considerati a 0 per il 2021</t>
        </r>
      </text>
    </comment>
    <comment ref="C27" authorId="0" shapeId="0" xr:uid="{00000000-0006-0000-0300-00000D000000}">
      <text>
        <r>
          <rPr>
            <b/>
            <sz val="8"/>
            <color indexed="81"/>
            <rFont val="Tahoma"/>
            <family val="2"/>
          </rPr>
          <t>michela bagnacci:</t>
        </r>
        <r>
          <rPr>
            <sz val="8"/>
            <color indexed="81"/>
            <rFont val="Tahoma"/>
            <family val="2"/>
          </rPr>
          <t xml:space="preserve">
considerati a 0 per il 2021</t>
        </r>
      </text>
    </comment>
    <comment ref="D27" authorId="0" shapeId="0" xr:uid="{00000000-0006-0000-0300-00000E000000}">
      <text>
        <r>
          <rPr>
            <b/>
            <sz val="8"/>
            <color indexed="81"/>
            <rFont val="Tahoma"/>
            <family val="2"/>
          </rPr>
          <t>michela bagnacci:</t>
        </r>
        <r>
          <rPr>
            <sz val="8"/>
            <color indexed="81"/>
            <rFont val="Tahoma"/>
            <family val="2"/>
          </rPr>
          <t xml:space="preserve">
considerati a 0 per il 2021</t>
        </r>
      </text>
    </comment>
    <comment ref="E27" authorId="0" shapeId="0" xr:uid="{00000000-0006-0000-0300-00000F000000}">
      <text>
        <r>
          <rPr>
            <b/>
            <sz val="8"/>
            <color indexed="81"/>
            <rFont val="Tahoma"/>
            <family val="2"/>
          </rPr>
          <t>michela bagnacci:</t>
        </r>
        <r>
          <rPr>
            <sz val="8"/>
            <color indexed="81"/>
            <rFont val="Tahoma"/>
            <family val="2"/>
          </rPr>
          <t xml:space="preserve">
considerati a 0 per il 2021</t>
        </r>
      </text>
    </comment>
    <comment ref="G27" authorId="0" shapeId="0" xr:uid="{00000000-0006-0000-0300-000010000000}">
      <text>
        <r>
          <rPr>
            <b/>
            <sz val="8"/>
            <color indexed="81"/>
            <rFont val="Tahoma"/>
            <family val="2"/>
          </rPr>
          <t>michela bagnacci:</t>
        </r>
        <r>
          <rPr>
            <sz val="8"/>
            <color indexed="81"/>
            <rFont val="Tahoma"/>
            <family val="2"/>
          </rPr>
          <t xml:space="preserve">
considerati a 0 per il 2021</t>
        </r>
      </text>
    </comment>
    <comment ref="O27" authorId="0" shapeId="0" xr:uid="{00000000-0006-0000-0300-000011000000}">
      <text>
        <r>
          <rPr>
            <b/>
            <sz val="8"/>
            <color indexed="81"/>
            <rFont val="Tahoma"/>
            <family val="2"/>
          </rPr>
          <t>michela bagnacci:</t>
        </r>
        <r>
          <rPr>
            <sz val="8"/>
            <color indexed="81"/>
            <rFont val="Tahoma"/>
            <family val="2"/>
          </rPr>
          <t xml:space="preserve">
considerati a 0 per il 2021</t>
        </r>
      </text>
    </comment>
    <comment ref="Q27" authorId="0" shapeId="0" xr:uid="{00000000-0006-0000-0300-000012000000}">
      <text>
        <r>
          <rPr>
            <b/>
            <sz val="8"/>
            <color indexed="81"/>
            <rFont val="Tahoma"/>
            <family val="2"/>
          </rPr>
          <t>michela bagnacci:</t>
        </r>
        <r>
          <rPr>
            <sz val="8"/>
            <color indexed="81"/>
            <rFont val="Tahoma"/>
            <family val="2"/>
          </rPr>
          <t xml:space="preserve">
considerati a 0 per il 2021</t>
        </r>
      </text>
    </comment>
    <comment ref="C35" authorId="0" shapeId="0" xr:uid="{00000000-0006-0000-0300-000013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D35" authorId="0" shapeId="0" xr:uid="{00000000-0006-0000-0300-000014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E35" authorId="0" shapeId="0" xr:uid="{00000000-0006-0000-0300-000015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G35" authorId="0" shapeId="0" xr:uid="{00000000-0006-0000-0300-000016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O35" authorId="0" shapeId="0" xr:uid="{00000000-0006-0000-0300-000017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Q35" authorId="0" shapeId="0" xr:uid="{00000000-0006-0000-0300-000018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G85" authorId="1" shapeId="0" xr:uid="{00000000-0006-0000-0300-000019000000}">
      <text>
        <r>
          <rPr>
            <b/>
            <sz val="9"/>
            <color indexed="81"/>
            <rFont val="Tahoma"/>
            <family val="2"/>
          </rPr>
          <t>annaclaudia bonifazi:</t>
        </r>
        <r>
          <rPr>
            <sz val="9"/>
            <color indexed="81"/>
            <rFont val="Tahoma"/>
            <family val="2"/>
          </rPr>
          <t xml:space="preserve">
stimato un aumento del 30% per aumento costo materie prime sul 2021
</t>
        </r>
      </text>
    </comment>
    <comment ref="O85" authorId="1" shapeId="0" xr:uid="{00000000-0006-0000-0300-00001A000000}">
      <text>
        <r>
          <rPr>
            <b/>
            <sz val="9"/>
            <color indexed="81"/>
            <rFont val="Tahoma"/>
            <family val="2"/>
          </rPr>
          <t>annaclaudia bonifazi:</t>
        </r>
        <r>
          <rPr>
            <sz val="9"/>
            <color indexed="81"/>
            <rFont val="Tahoma"/>
            <family val="2"/>
          </rPr>
          <t xml:space="preserve">
stimato un aumento del 30% per aumento costo materie prime</t>
        </r>
      </text>
    </comment>
    <comment ref="Q85" authorId="1" shapeId="0" xr:uid="{00000000-0006-0000-0300-00001B000000}">
      <text>
        <r>
          <rPr>
            <b/>
            <sz val="9"/>
            <color indexed="81"/>
            <rFont val="Tahoma"/>
            <family val="2"/>
          </rPr>
          <t>annaclaudia bonifazi:</t>
        </r>
        <r>
          <rPr>
            <sz val="9"/>
            <color indexed="81"/>
            <rFont val="Tahoma"/>
            <family val="2"/>
          </rPr>
          <t xml:space="preserve">
stimato un aumento del 30% per aumento costo materie prime</t>
        </r>
      </text>
    </comment>
    <comment ref="G89" authorId="1" shapeId="0" xr:uid="{00000000-0006-0000-0300-00001C000000}">
      <text>
        <r>
          <rPr>
            <b/>
            <sz val="9"/>
            <color indexed="81"/>
            <rFont val="Tahoma"/>
            <family val="2"/>
          </rPr>
          <t>annaclaudia bonifazi:</t>
        </r>
        <r>
          <rPr>
            <sz val="9"/>
            <color indexed="81"/>
            <rFont val="Tahoma"/>
            <family val="2"/>
          </rPr>
          <t xml:space="preserve">
aumento del 30% per aumento prezzi sul 2021
</t>
        </r>
      </text>
    </comment>
    <comment ref="O89" authorId="1" shapeId="0" xr:uid="{00000000-0006-0000-0300-00001D000000}">
      <text>
        <r>
          <rPr>
            <b/>
            <sz val="9"/>
            <color indexed="81"/>
            <rFont val="Tahoma"/>
            <family val="2"/>
          </rPr>
          <t>annaclaudia bonifazi:</t>
        </r>
        <r>
          <rPr>
            <sz val="9"/>
            <color indexed="81"/>
            <rFont val="Tahoma"/>
            <family val="2"/>
          </rPr>
          <t xml:space="preserve">
aumento del 30% per aumento prezzi
</t>
        </r>
      </text>
    </comment>
    <comment ref="Q89" authorId="1" shapeId="0" xr:uid="{00000000-0006-0000-0300-00001E000000}">
      <text>
        <r>
          <rPr>
            <b/>
            <sz val="9"/>
            <color indexed="81"/>
            <rFont val="Tahoma"/>
            <family val="2"/>
          </rPr>
          <t>annaclaudia bonifazi:</t>
        </r>
        <r>
          <rPr>
            <sz val="9"/>
            <color indexed="81"/>
            <rFont val="Tahoma"/>
            <family val="2"/>
          </rPr>
          <t xml:space="preserve">
aumento del 30% per aumento prezzi
</t>
        </r>
      </text>
    </comment>
    <comment ref="U163" authorId="2" shapeId="0" xr:uid="{00000000-0006-0000-0300-00001F000000}">
      <text>
        <r>
          <rPr>
            <b/>
            <sz val="9"/>
            <color indexed="81"/>
            <rFont val="Tahoma"/>
            <family val="2"/>
          </rPr>
          <t>Giulia Fedeli:</t>
        </r>
        <r>
          <rPr>
            <sz val="9"/>
            <color indexed="81"/>
            <rFont val="Tahoma"/>
            <family val="2"/>
          </rPr>
          <t xml:space="preserve">
manca la parte contributi
</t>
        </r>
      </text>
    </comment>
    <comment ref="U176" authorId="2" shapeId="0" xr:uid="{00000000-0006-0000-0300-000020000000}">
      <text>
        <r>
          <rPr>
            <b/>
            <sz val="9"/>
            <color indexed="81"/>
            <rFont val="Tahoma"/>
            <family val="2"/>
          </rPr>
          <t>Giulia Fedeli:</t>
        </r>
        <r>
          <rPr>
            <sz val="9"/>
            <color indexed="81"/>
            <rFont val="Tahoma"/>
            <family val="2"/>
          </rPr>
          <t xml:space="preserve">
da aggiungere gli ausiliari ed eventuali nuovi assunti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annaclaudia bonifazi</author>
    <author>michela bagnacci</author>
  </authors>
  <commentList>
    <comment ref="H6" authorId="0" shapeId="0" xr:uid="{00000000-0006-0000-0500-000001000000}">
      <text>
        <r>
          <rPr>
            <b/>
            <sz val="9"/>
            <color indexed="81"/>
            <rFont val="Tahoma"/>
            <family val="2"/>
          </rPr>
          <t>annaclaudia bonifazi:</t>
        </r>
        <r>
          <rPr>
            <sz val="9"/>
            <color indexed="81"/>
            <rFont val="Tahoma"/>
            <family val="2"/>
          </rPr>
          <t xml:space="preserve">
aument previsto del 50% aumento costi materie prime
</t>
        </r>
      </text>
    </comment>
    <comment ref="P6" authorId="0" shapeId="0" xr:uid="{00000000-0006-0000-0500-000002000000}">
      <text>
        <r>
          <rPr>
            <b/>
            <sz val="9"/>
            <color indexed="81"/>
            <rFont val="Tahoma"/>
            <family val="2"/>
          </rPr>
          <t>annaclaudia bonifazi:</t>
        </r>
        <r>
          <rPr>
            <sz val="9"/>
            <color indexed="81"/>
            <rFont val="Tahoma"/>
            <family val="2"/>
          </rPr>
          <t xml:space="preserve">
aument previsto del 50% aumento costi materie prime
</t>
        </r>
      </text>
    </comment>
    <comment ref="R6" authorId="0" shapeId="0" xr:uid="{00000000-0006-0000-0500-000003000000}">
      <text>
        <r>
          <rPr>
            <b/>
            <sz val="9"/>
            <color indexed="81"/>
            <rFont val="Tahoma"/>
            <family val="2"/>
          </rPr>
          <t>annaclaudia bonifazi:</t>
        </r>
        <r>
          <rPr>
            <sz val="9"/>
            <color indexed="81"/>
            <rFont val="Tahoma"/>
            <family val="2"/>
          </rPr>
          <t xml:space="preserve">
aument previsto del 50% aumento costi materie prime
</t>
        </r>
      </text>
    </comment>
    <comment ref="H30" authorId="1" shapeId="0" xr:uid="{00000000-0006-0000-0500-000004000000}">
      <text>
        <r>
          <rPr>
            <b/>
            <sz val="9"/>
            <color indexed="81"/>
            <rFont val="Tahoma"/>
            <family val="2"/>
          </rPr>
          <t>michela bagnacci:</t>
        </r>
        <r>
          <rPr>
            <sz val="9"/>
            <color indexed="81"/>
            <rFont val="Tahoma"/>
            <family val="2"/>
          </rPr>
          <t xml:space="preserve">
costo totale 42,000 annuo - competenza 2022 solo per 9 mesi da aprile a dicembre 2022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michela bagnacci</author>
  </authors>
  <commentList>
    <comment ref="D13" authorId="0" shapeId="0" xr:uid="{00000000-0006-0000-0A00-000001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E13" authorId="0" shapeId="0" xr:uid="{00000000-0006-0000-0A00-000002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F13" authorId="0" shapeId="0" xr:uid="{00000000-0006-0000-0A00-000003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H13" authorId="0" shapeId="0" xr:uid="{00000000-0006-0000-0A00-000004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N13" authorId="0" shapeId="0" xr:uid="{00000000-0006-0000-0A00-000005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O13" authorId="0" shapeId="0" xr:uid="{00000000-0006-0000-0A00-000006000000}">
      <text>
        <r>
          <rPr>
            <b/>
            <sz val="8"/>
            <color indexed="81"/>
            <rFont val="Tahoma"/>
            <family val="2"/>
          </rPr>
          <t>michela bagnacci:</t>
        </r>
        <r>
          <rPr>
            <sz val="8"/>
            <color indexed="81"/>
            <rFont val="Tahoma"/>
            <family val="2"/>
          </rPr>
          <t xml:space="preserve">
considerato che nel 2020 il parcheggio è stato reso gratuito per marzo e aprile 2020 nel 2021 è a pagamento tutto l'anno.</t>
        </r>
      </text>
    </comment>
    <comment ref="D26" authorId="0" shapeId="0" xr:uid="{00000000-0006-0000-0A00-000007000000}">
      <text>
        <r>
          <rPr>
            <b/>
            <sz val="8"/>
            <color indexed="81"/>
            <rFont val="Tahoma"/>
            <family val="2"/>
          </rPr>
          <t>michela bagnacci:</t>
        </r>
        <r>
          <rPr>
            <sz val="8"/>
            <color indexed="81"/>
            <rFont val="Tahoma"/>
            <family val="2"/>
          </rPr>
          <t xml:space="preserve">
considerati a 0 per il 2021</t>
        </r>
      </text>
    </comment>
    <comment ref="E26" authorId="0" shapeId="0" xr:uid="{00000000-0006-0000-0A00-000008000000}">
      <text>
        <r>
          <rPr>
            <b/>
            <sz val="8"/>
            <color indexed="81"/>
            <rFont val="Tahoma"/>
            <family val="2"/>
          </rPr>
          <t>michela bagnacci:</t>
        </r>
        <r>
          <rPr>
            <sz val="8"/>
            <color indexed="81"/>
            <rFont val="Tahoma"/>
            <family val="2"/>
          </rPr>
          <t xml:space="preserve">
considerati a 0 per il 2021</t>
        </r>
      </text>
    </comment>
    <comment ref="F26" authorId="0" shapeId="0" xr:uid="{00000000-0006-0000-0A00-000009000000}">
      <text>
        <r>
          <rPr>
            <b/>
            <sz val="8"/>
            <color indexed="81"/>
            <rFont val="Tahoma"/>
            <family val="2"/>
          </rPr>
          <t>michela bagnacci:</t>
        </r>
        <r>
          <rPr>
            <sz val="8"/>
            <color indexed="81"/>
            <rFont val="Tahoma"/>
            <family val="2"/>
          </rPr>
          <t xml:space="preserve">
considerati a 0 per il 2021</t>
        </r>
      </text>
    </comment>
    <comment ref="H26" authorId="0" shapeId="0" xr:uid="{00000000-0006-0000-0A00-00000A000000}">
      <text>
        <r>
          <rPr>
            <b/>
            <sz val="8"/>
            <color indexed="81"/>
            <rFont val="Tahoma"/>
            <family val="2"/>
          </rPr>
          <t>michela bagnacci:</t>
        </r>
        <r>
          <rPr>
            <sz val="8"/>
            <color indexed="81"/>
            <rFont val="Tahoma"/>
            <family val="2"/>
          </rPr>
          <t xml:space="preserve">
considerati a 0 per il 2021</t>
        </r>
      </text>
    </comment>
    <comment ref="N26" authorId="0" shapeId="0" xr:uid="{00000000-0006-0000-0A00-00000B000000}">
      <text>
        <r>
          <rPr>
            <b/>
            <sz val="8"/>
            <color indexed="81"/>
            <rFont val="Tahoma"/>
            <family val="2"/>
          </rPr>
          <t>michela bagnacci:</t>
        </r>
        <r>
          <rPr>
            <sz val="8"/>
            <color indexed="81"/>
            <rFont val="Tahoma"/>
            <family val="2"/>
          </rPr>
          <t xml:space="preserve">
considerati a 0 per il 2021</t>
        </r>
      </text>
    </comment>
    <comment ref="O26" authorId="0" shapeId="0" xr:uid="{00000000-0006-0000-0A00-00000C000000}">
      <text>
        <r>
          <rPr>
            <b/>
            <sz val="8"/>
            <color indexed="81"/>
            <rFont val="Tahoma"/>
            <family val="2"/>
          </rPr>
          <t>michela bagnacci:</t>
        </r>
        <r>
          <rPr>
            <sz val="8"/>
            <color indexed="81"/>
            <rFont val="Tahoma"/>
            <family val="2"/>
          </rPr>
          <t xml:space="preserve">
considerati a 0 per il 2021</t>
        </r>
      </text>
    </comment>
    <comment ref="D27" authorId="0" shapeId="0" xr:uid="{00000000-0006-0000-0A00-00000D000000}">
      <text>
        <r>
          <rPr>
            <b/>
            <sz val="8"/>
            <color indexed="81"/>
            <rFont val="Tahoma"/>
            <family val="2"/>
          </rPr>
          <t>michela bagnacci:</t>
        </r>
        <r>
          <rPr>
            <sz val="8"/>
            <color indexed="81"/>
            <rFont val="Tahoma"/>
            <family val="2"/>
          </rPr>
          <t xml:space="preserve">
considerati a 0 per il 2021</t>
        </r>
      </text>
    </comment>
    <comment ref="E27" authorId="0" shapeId="0" xr:uid="{00000000-0006-0000-0A00-00000E000000}">
      <text>
        <r>
          <rPr>
            <b/>
            <sz val="8"/>
            <color indexed="81"/>
            <rFont val="Tahoma"/>
            <family val="2"/>
          </rPr>
          <t>michela bagnacci:</t>
        </r>
        <r>
          <rPr>
            <sz val="8"/>
            <color indexed="81"/>
            <rFont val="Tahoma"/>
            <family val="2"/>
          </rPr>
          <t xml:space="preserve">
considerati a 0 per il 2021</t>
        </r>
      </text>
    </comment>
    <comment ref="F27" authorId="0" shapeId="0" xr:uid="{00000000-0006-0000-0A00-00000F000000}">
      <text>
        <r>
          <rPr>
            <b/>
            <sz val="8"/>
            <color indexed="81"/>
            <rFont val="Tahoma"/>
            <family val="2"/>
          </rPr>
          <t>michela bagnacci:</t>
        </r>
        <r>
          <rPr>
            <sz val="8"/>
            <color indexed="81"/>
            <rFont val="Tahoma"/>
            <family val="2"/>
          </rPr>
          <t xml:space="preserve">
considerati a 0 per il 2021</t>
        </r>
      </text>
    </comment>
    <comment ref="H27" authorId="0" shapeId="0" xr:uid="{00000000-0006-0000-0A00-000010000000}">
      <text>
        <r>
          <rPr>
            <b/>
            <sz val="8"/>
            <color indexed="81"/>
            <rFont val="Tahoma"/>
            <family val="2"/>
          </rPr>
          <t>michela bagnacci:</t>
        </r>
        <r>
          <rPr>
            <sz val="8"/>
            <color indexed="81"/>
            <rFont val="Tahoma"/>
            <family val="2"/>
          </rPr>
          <t xml:space="preserve">
considerati a 0 per il 2021</t>
        </r>
      </text>
    </comment>
    <comment ref="N27" authorId="0" shapeId="0" xr:uid="{00000000-0006-0000-0A00-000011000000}">
      <text>
        <r>
          <rPr>
            <b/>
            <sz val="8"/>
            <color indexed="81"/>
            <rFont val="Tahoma"/>
            <family val="2"/>
          </rPr>
          <t>michela bagnacci:</t>
        </r>
        <r>
          <rPr>
            <sz val="8"/>
            <color indexed="81"/>
            <rFont val="Tahoma"/>
            <family val="2"/>
          </rPr>
          <t xml:space="preserve">
considerati a 0 per il 2021</t>
        </r>
      </text>
    </comment>
    <comment ref="O27" authorId="0" shapeId="0" xr:uid="{00000000-0006-0000-0A00-000012000000}">
      <text>
        <r>
          <rPr>
            <b/>
            <sz val="8"/>
            <color indexed="81"/>
            <rFont val="Tahoma"/>
            <family val="2"/>
          </rPr>
          <t>michela bagnacci:</t>
        </r>
        <r>
          <rPr>
            <sz val="8"/>
            <color indexed="81"/>
            <rFont val="Tahoma"/>
            <family val="2"/>
          </rPr>
          <t xml:space="preserve">
considerati a 0 per il 2021</t>
        </r>
      </text>
    </comment>
    <comment ref="D35" authorId="0" shapeId="0" xr:uid="{00000000-0006-0000-0A00-000013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E35" authorId="0" shapeId="0" xr:uid="{00000000-0006-0000-0A00-000014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F35" authorId="0" shapeId="0" xr:uid="{00000000-0006-0000-0A00-000015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H35" authorId="0" shapeId="0" xr:uid="{00000000-0006-0000-0A00-000016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N35" authorId="0" shapeId="0" xr:uid="{00000000-0006-0000-0A00-000017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O35" authorId="0" shapeId="0" xr:uid="{00000000-0006-0000-0A00-000018000000}">
      <text>
        <r>
          <rPr>
            <b/>
            <sz val="8"/>
            <color indexed="81"/>
            <rFont val="Tahoma"/>
            <family val="2"/>
          </rPr>
          <t>michela bagnacci:</t>
        </r>
        <r>
          <rPr>
            <sz val="8"/>
            <color indexed="81"/>
            <rFont val="Tahoma"/>
            <family val="2"/>
          </rPr>
          <t xml:space="preserve">
a seguito della nuova convenzione firmata con il Comune di Siena il corrispettivo annuo dal 2021-2024 è pari ad Euro 200,000 </t>
        </r>
      </text>
    </comment>
    <comment ref="H88" authorId="0" shapeId="0" xr:uid="{00000000-0006-0000-0A00-000019000000}">
      <text>
        <r>
          <rPr>
            <b/>
            <sz val="9"/>
            <color indexed="81"/>
            <rFont val="Tahoma"/>
            <family val="2"/>
          </rPr>
          <t>michela bagnacci:</t>
        </r>
        <r>
          <rPr>
            <sz val="9"/>
            <color indexed="81"/>
            <rFont val="Tahoma"/>
            <family val="2"/>
          </rPr>
          <t xml:space="preserve">
aggiunto 100,000 perché sono manutenzioni cicliche che vanno a stornare il fondo ma sono lavori
</t>
        </r>
      </text>
    </comment>
    <comment ref="N88" authorId="0" shapeId="0" xr:uid="{00000000-0006-0000-0A00-00001A000000}">
      <text>
        <r>
          <rPr>
            <b/>
            <sz val="9"/>
            <color indexed="81"/>
            <rFont val="Tahoma"/>
            <charset val="1"/>
          </rPr>
          <t>michela bagnacci:</t>
        </r>
        <r>
          <rPr>
            <sz val="9"/>
            <color indexed="81"/>
            <rFont val="Tahoma"/>
            <charset val="1"/>
          </rPr>
          <t xml:space="preserve">
aggiunte 100,000 euro di manutenzione ciclica che consideriamo lavori anche se vanno a stornare il fondo manutenzioni cicliche.</t>
        </r>
      </text>
    </comment>
  </commentList>
</comments>
</file>

<file path=xl/sharedStrings.xml><?xml version="1.0" encoding="utf-8"?>
<sst xmlns="http://schemas.openxmlformats.org/spreadsheetml/2006/main" count="5828" uniqueCount="1158">
  <si>
    <t/>
  </si>
  <si>
    <t>Descrizione</t>
  </si>
  <si>
    <t>CONSUNTIVO 2020</t>
  </si>
  <si>
    <t>VALORE DELLA PRODUZIONE</t>
  </si>
  <si>
    <t xml:space="preserve">Ricavi delle vendite e delle prestazioni </t>
  </si>
  <si>
    <t>ricavi delle vendite e delle prestazioni - GESTIONE SOSTA</t>
  </si>
  <si>
    <t>58/0005/0520 - CORRISP.GIORN. ABBONAM.PARCHEGGI</t>
  </si>
  <si>
    <t>58/0005/0534 . CORRISP. ABBONAM RID</t>
  </si>
  <si>
    <t>58/0005/0535 - CORRISP. ABBONAM ARU LAVORAT.</t>
  </si>
  <si>
    <t>58/0005/0536 - CORRISP. ABBONAM.MENSILI STAZIONE</t>
  </si>
  <si>
    <t>TOTALE GESTIONE ABBONAMENTI PARCHEGGI</t>
  </si>
  <si>
    <t>58/0005/0501 - CORRISP. INCASSI FONTANELLA</t>
  </si>
  <si>
    <t>58/0005/0503 - CORRISP.INCASSI STADIO</t>
  </si>
  <si>
    <t>58/0005/0504 - CORRISP.INCASSI S.MARCO</t>
  </si>
  <si>
    <t>58/0005/0509 - CORRISP. INCASSI ELIPORTO</t>
  </si>
  <si>
    <t>58/0005/0511 - CORRISP. INCASSI SAN FRANCESCO</t>
  </si>
  <si>
    <t>58/0005/0513 - CORRISP. INCASSI SANTA CATERINA</t>
  </si>
  <si>
    <t>58/0005/0514 - CORRISP. INCASSI STAZIONE</t>
  </si>
  <si>
    <t>58/0005/0519 - CORRISP.INCASSI SAN MINIATO</t>
  </si>
  <si>
    <t>58/0005/0510 - CORRISP. PARCOMETRI ARU</t>
  </si>
  <si>
    <t>58/0005/0533 - CORRISP. PARCOMETRI</t>
  </si>
  <si>
    <t>58/0005/0531 - CORRISP.EASYPARK PARCOMETRI</t>
  </si>
  <si>
    <t>58/0005/0532 - CORRISP. EASYPARK PARCOM.ARU</t>
  </si>
  <si>
    <t>TOTALE GESTIONE SOSTA PARCHEGGI STRUTTURA E SUPERFICIE</t>
  </si>
  <si>
    <t>58/0005/0515 - CORRISP. INCASSI SOSTAPAY</t>
  </si>
  <si>
    <t>58/0005/0516 - CORRISP.PREPAG. E SOSTAPAY</t>
  </si>
  <si>
    <t>TOTALE GESTIONE VENDITE E RICARICHE SOSTAPAY</t>
  </si>
  <si>
    <t>58/0005/0506 - CORRISP.INCASSI FAGIOLONE</t>
  </si>
  <si>
    <t>58/0005/0530 - RICAVI PRENOTAZIONI ON LINE BUS</t>
  </si>
  <si>
    <t>58/0005/0521 - CORRISP.INCASSI CAMPER</t>
  </si>
  <si>
    <t>TOTALE GESTIONE BUS TURISTICI E CAMPER</t>
  </si>
  <si>
    <t>58/0005/0517 - CORRISP. SERV.IGIENICI PARCHEGGI</t>
  </si>
  <si>
    <t>58/0005/0518 - CORRISP.SIPEDALA</t>
  </si>
  <si>
    <t>58/0005/0522 - CORRISP.BORS.ELETTRONICO</t>
  </si>
  <si>
    <t>58/0005/0507 - CORRISP. BOLLINI ARU</t>
  </si>
  <si>
    <t>58/0005/0505 - CORRISP.BOLLINI ZTL</t>
  </si>
  <si>
    <t>58/0005/0502 - PROVENT.GEST.PARC.ZTL</t>
  </si>
  <si>
    <t>ricavi delle vendite e delle prestazioni - GESTIONE TRIBUTI</t>
  </si>
  <si>
    <t>58/0005/0701 - RICAVI GESTIONE ATTIVITA' TRIBUTI</t>
  </si>
  <si>
    <t>Altri ricavi e proventi</t>
  </si>
  <si>
    <t>altri ricavi e proventi - GESTIONE SOSTA</t>
  </si>
  <si>
    <t>OK</t>
  </si>
  <si>
    <t>64/0005/0501 - PROVENTI DA PUBBLICITA'</t>
  </si>
  <si>
    <t>64/0005/0502 - SOPRAVVENIENZE ATTIVE</t>
  </si>
  <si>
    <t>64/0005/0503 - PROVENTI VARI</t>
  </si>
  <si>
    <t>64/0005/0507 - SOPRAVV.ATT.CAU</t>
  </si>
  <si>
    <t>64/0005/0508 - SOPRAVV.ATT.PARCOMETRI</t>
  </si>
  <si>
    <t>64/0005/0510 - SOPRAVVENIENZE DA FONDO RISCHI</t>
  </si>
  <si>
    <t>64/0005/0512 - SOPRAVV. ATTIVE INDEDUCIBILI</t>
  </si>
  <si>
    <t>64/0005/0514 SOPRAVVENIENZE ATTIVE - STORNO DEBITO P.F.M.</t>
  </si>
  <si>
    <t>64/0005/0515 - CREDITO IMPOSTA SUPERAMM.2020 SP</t>
  </si>
  <si>
    <t>64/0005/0517 - CREDITO IMPOSTA INVESTIMENTI PUBBLICITARI 2020</t>
  </si>
  <si>
    <t>altri ricavi e proventi - GESTIONE TRIBUTI</t>
  </si>
  <si>
    <t>64/0005/0701 - ABBUONI/ARROT. ATTIVI ATT.TRIBUTI</t>
  </si>
  <si>
    <t>TOTALE Altri ricavi e proventi</t>
  </si>
  <si>
    <t>TOTALE VALORE DELLA PRODUZIONE</t>
  </si>
  <si>
    <t>COSTI DELLA PRODUZIONE</t>
  </si>
  <si>
    <t>materie prime, suss., di cons. e merci</t>
  </si>
  <si>
    <t>Materie prime, suss., di cons. e merci - GESTIONE SOSTA</t>
  </si>
  <si>
    <t>66/0005/0501 - CANCELL.STAMPATI FOTOCOPIE</t>
  </si>
  <si>
    <t>66/0005/0504 - ACQ. BENI COSTO INF. 1 MIL.</t>
  </si>
  <si>
    <t>66/0005/0505 - PRODOTTI CONSUMO</t>
  </si>
  <si>
    <t>66/0005/0506 - BIGLIETTI PARCHEGGI</t>
  </si>
  <si>
    <t>66/0005/0507 - DISPOSITIVI COVID</t>
  </si>
  <si>
    <t>66/0030/0037 - CARBURANTI E LUBRIF.PARZ.DED.</t>
  </si>
  <si>
    <t>Materie prime, suss., di cons. e merci - UFFICIO TRIBUTI</t>
  </si>
  <si>
    <t>66/0005/0701 - CANCELL.E STAMP. UFF.TRIBUTI FONTEBRANDA</t>
  </si>
  <si>
    <t>66/0005/0702 -  ACQ.BENI INF. 516,16 FONTEBRANDA</t>
  </si>
  <si>
    <t>per servizi</t>
  </si>
  <si>
    <t>per servizi - GESTIONE SOSTA</t>
  </si>
  <si>
    <t>68/0005/0502 - ENERGIA ELETTRICA</t>
  </si>
  <si>
    <t>68/0005/0563 - ALTRE SPESE TELEFONICHE P.</t>
  </si>
  <si>
    <t>68/0005/0513 - GAS</t>
  </si>
  <si>
    <t>68/0005/0521 - ACQUEDOTTO</t>
  </si>
  <si>
    <t xml:space="preserve">totale spese per utenze </t>
  </si>
  <si>
    <t>68/0005/0540 - spese canone unico Comune di Siena</t>
  </si>
  <si>
    <t>68/0005/0529 - SPESE SERVIZI CAU E PARCOMETRI</t>
  </si>
  <si>
    <t>68/0005/0531 - SPESE SERVIZ.ACC.BUS E SUPPORTO</t>
  </si>
  <si>
    <t>68/0005/0532 - SPESE SERVIZI PRESIDIO STAZIONE</t>
  </si>
  <si>
    <t>68/0005/0533 - SPESE SERVIZI PULIZIA PARCHEGGI</t>
  </si>
  <si>
    <t>68/0005/0534 - SP.SERVIZI TRASP.VALORI E CONTEGGIO</t>
  </si>
  <si>
    <t>68/0005/0629 - SPESE SERVIZI SANIFICAZIONE PARCHEGGI</t>
  </si>
  <si>
    <t>totale spese servizi esternalizzati</t>
  </si>
  <si>
    <t>68/0005/0508 - ONERI E SPESE BANCARIE</t>
  </si>
  <si>
    <t>68/0005/0542 - ONERI COMMISS.NEXI</t>
  </si>
  <si>
    <t>68/0005/0541 - ONERI E SP.BANCARIE CRAS</t>
  </si>
  <si>
    <t>68/0005/0558 - ONERI COMMIS.BANCA SELLA</t>
  </si>
  <si>
    <t>68/0005/0559 - ONERI COMMIS.NAYAX</t>
  </si>
  <si>
    <t>68/0005/0560 - ONERI COMMIS.PAYPAL</t>
  </si>
  <si>
    <t>totale spese per servizi bancari e commissioni carte di credito</t>
  </si>
  <si>
    <t>68/0005/0565 - CONTR.ASSIST.AUTOMAZIONE PARCH.STRUTTURA</t>
  </si>
  <si>
    <t>68/0005/0566 - CONTR.ASSIST.IMP.ELETTR. E IDRAULICI</t>
  </si>
  <si>
    <t>68/0005/0572 - CONTR.ASSIST.FAST PARK</t>
  </si>
  <si>
    <t>68/0005/0567 - CONTR.ASSIST.ANTINCENDIO</t>
  </si>
  <si>
    <t>68/0005/0568 - CONTR.ASSIST.PARCOMETRI</t>
  </si>
  <si>
    <t>ok</t>
  </si>
  <si>
    <t>68/0005/0569 - CONTR.ASSIST.SCALE MOBILI E ASCENSORI</t>
  </si>
  <si>
    <t>68/0005/0570 - CONTR.ASSIST.SERVER PRIVACY</t>
  </si>
  <si>
    <t>68/0005/0571 - CONTR.ASSIST.PROGR.CONTABILITA'</t>
  </si>
  <si>
    <t>68/0005/0573 - CONTR.ASSIST.UPS</t>
  </si>
  <si>
    <t>68/0005/0574 - CONT.ASSIST.VIDEOSOR--ALLARME-CENTRALINO</t>
  </si>
  <si>
    <t>68/0005/0575 - CONT.ASSIST.CONTABANCONOTE</t>
  </si>
  <si>
    <t>68/0005/0587 - CONTR.ASSIST.D-PASS PER APP SIPARK</t>
  </si>
  <si>
    <t>68/0005/0619 - CONTR.ASSIST.SITO WEB E HOSTING</t>
  </si>
  <si>
    <t>68/0005/0620 - CONTR.ASSIST. APPARATI RETE LAN</t>
  </si>
  <si>
    <t>68/0005/0621 - CONTR.ASSIST. SIPARK OCCUPAZIONE</t>
  </si>
  <si>
    <t>68/0005/0576 - CONT.ASSIST.PROGR.MAGGIOLI</t>
  </si>
  <si>
    <t>68/0005/0592 - CONTR. ASSIST.ACCESSO ACI</t>
  </si>
  <si>
    <t>totale contratti di assistenza - canone fisso</t>
  </si>
  <si>
    <t>68/0005/0593 - ASSIC.FURTO INCASSO TICKET BUS TURISTICI</t>
  </si>
  <si>
    <t>68/0005/0594 - ASSIC.CARRI SOCCORSO - SAN MINIATO</t>
  </si>
  <si>
    <t>68/0005/0596 - ASSIC. INCENDIO</t>
  </si>
  <si>
    <t>68/0005/0597 - ASSIC. IMP.E APPARECC.ELETTRONICHE</t>
  </si>
  <si>
    <t>68/0005/0598 - ASSIC. CUMULATIVA INFORTUNI DIP.E DIRIG.</t>
  </si>
  <si>
    <t>68/0005/0599 - ASSIC. FURTO AUTO E COMP.AUTO PARCHEGGI</t>
  </si>
  <si>
    <t>68/0005/0600 - ASSIC. CAUZIONE SAN MINIATO</t>
  </si>
  <si>
    <t>68/0005/0601 - ASSIC. CAUZIONE VIA ROMA - VIA PICCOLOMI</t>
  </si>
  <si>
    <t>68/0005/0602 - ASSIC. CAUZ. PANNILUNGHI-FRUSCHELLI</t>
  </si>
  <si>
    <t>68/0005/0603 - ASSIC.CAUZIONE STADIO</t>
  </si>
  <si>
    <t>68/0005/0604 - ASSIC. FURTO PARCOMETRI</t>
  </si>
  <si>
    <t>68/0005/0605 - ASSIC. CAUZ.VIALE FRANCI E MACCARI</t>
  </si>
  <si>
    <t>68/0005/0606 - ASSIC. CAUZ. STRADA DI PESCAIA</t>
  </si>
  <si>
    <t>68/0005/0607 - ASSIC. CAUZ. PIAZZA AMENDOLA</t>
  </si>
  <si>
    <t>68/0005/0608 - ASSIC. CAUZ. VIA BASTIANINI</t>
  </si>
  <si>
    <t>68/0005/0609 - ASSIC. RESP.CIVILE CDA-COLL.SINDAC.</t>
  </si>
  <si>
    <t>68/0005/0610 - ASSIC. RCT E RCO (RESP.CIV.TERZI)</t>
  </si>
  <si>
    <t>68/0005/0614 - ASSIC. BIKE SHARING</t>
  </si>
  <si>
    <t>68/0005/0611 - ASSIC. TUTELA LEGALE PENALE</t>
  </si>
  <si>
    <t>68/0005/0612 - ASSIC. TUTELA LEGALE PER LE IMPRESE</t>
  </si>
  <si>
    <t>68/0005/0613 - ASSIC. DANNI PATRIMONIALI</t>
  </si>
  <si>
    <t>68/0005/0615 - ASSIC.RCA AUTOMEZZI (PARZ.DEDUC)</t>
  </si>
  <si>
    <t>68/0005/0616 - ASSIC.INF.CONDUC.PANDA ET253CV (P.DED.)</t>
  </si>
  <si>
    <t>68/0005/0617 - ASSIC.INF.COND.DOBLO' EM320HG (P.DED)</t>
  </si>
  <si>
    <t>68/0005/0618 - ASSIC.KASKO DIP.(PARZ.DEDUC.)</t>
  </si>
  <si>
    <t xml:space="preserve">totale premi assicurativi  </t>
  </si>
  <si>
    <t>68/0005/0564 - MANUT.ANTINCENDIO IL CAMPO</t>
  </si>
  <si>
    <t>68/0005/0624 - MANUTENZ. ATTI VANDAL. E ATMOSF.PARCHEGG</t>
  </si>
  <si>
    <t>68/0005/0626 - MANUTENZ. GESTIONALE PERM. ZTL</t>
  </si>
  <si>
    <t>68/0005/0627 - MANUTENZ. SEGNALETICA STRADALE</t>
  </si>
  <si>
    <t>68/0005/0580 - MAN.EXTRA CONTR. FAST PARK</t>
  </si>
  <si>
    <t>68/0005/0579 - MANUT.INTERV.PARCOMETRI E PARCHEGGI</t>
  </si>
  <si>
    <t>68/0005/0584 - MANUTENZ.PAVIMENTAZ.STRADALE PARCHEGGI</t>
  </si>
  <si>
    <t>68/0005/0057 - MANUT. E RIP.VEICOLI PARZ.DEDUC.</t>
  </si>
  <si>
    <t>68/0005/0552 - MANUT. SISTEMA INFORMAT. E RETE DATI</t>
  </si>
  <si>
    <t>68/0005/0589 - COMP.DIREZ. LAV. ADEGUAMENTO ANTINCENDIO IL CAMPO</t>
  </si>
  <si>
    <t>68/0005/0591 - COMP.PROFESS.ILLUMINAZ.EMERG.5 PARCHEGGI</t>
  </si>
  <si>
    <t>68/0005/0630 - MANUTENZIONE ILLUM.EMERGENZA 5 PARCHEGGI</t>
  </si>
  <si>
    <t xml:space="preserve">totale manutenzioni e riparazioni </t>
  </si>
  <si>
    <t>68/0005/0504 - RETE TELEMATICA</t>
  </si>
  <si>
    <t>68/0005/0505 - VIGILANZA</t>
  </si>
  <si>
    <t>68/0005/0506 - VIAGGI E DIARIE</t>
  </si>
  <si>
    <t>68/0005/0511 - SPESE POSTALI</t>
  </si>
  <si>
    <t>68/0005/0514 - SPESE VARIE DOCUMENTATE</t>
  </si>
  <si>
    <t>68/0005/0522 - SPESE PER CONSULENZE</t>
  </si>
  <si>
    <t>68/0005/0501 - EMOLUM A PROFESS. TECNICI</t>
  </si>
  <si>
    <t>68/0005/0553 - COMP.ATT.UFF. STAMPA E AGG.TO SITO</t>
  </si>
  <si>
    <t>68/0005/0554 - COMP.RESP.PROT.DATI PRIVACY</t>
  </si>
  <si>
    <t>68/0005/0555 - CONSUL.FISCALI E INTERM.TELEMATICO</t>
  </si>
  <si>
    <t>68/0005/0556 - COMP.ORGANISMO VIGILANZA</t>
  </si>
  <si>
    <t>68/0005/0557 - COMP.REVIS.QUALITA' E INTERNAL AUDIT</t>
  </si>
  <si>
    <t>68/0005/0548 - COMPENSO RSPP</t>
  </si>
  <si>
    <t>68/0005/0549 - COMPENSO REVISORE DEI CONTI</t>
  </si>
  <si>
    <t>68/0005/0551 - COMPENSO MEDICO COMPETENTE</t>
  </si>
  <si>
    <t>68/0005/0537 - COMPENSO PRESIDENTE CDA</t>
  </si>
  <si>
    <t>68/0005/0538 - COMPENSO CONSIG.AMMINISTRAZIONE</t>
  </si>
  <si>
    <t>68/0005/0539 - COMPENSO COLL. SINDACALE</t>
  </si>
  <si>
    <t>68/0005/0510 - LEGALI E NOTARILI</t>
  </si>
  <si>
    <t>68/0005/0631 - LEGALI E NOTARILI - EXTRA CONTRATTO</t>
  </si>
  <si>
    <t>68/0005/0524 - BUONI PASTO</t>
  </si>
  <si>
    <t>68/0005/0526 - ABBUONI E SCONTI PASSIVI</t>
  </si>
  <si>
    <t>68/0005/0516 - PUBBLICITA' RECLAME E INS.</t>
  </si>
  <si>
    <t>68/0005/0527 - SPONSORIZZAZIONI</t>
  </si>
  <si>
    <t>68/0005/0528 - SPESE PER FORMAZIONE</t>
  </si>
  <si>
    <t>68/0005/0520 - SPESE PER SERVIZI</t>
  </si>
  <si>
    <t>68/0005/0535 - SERVIZI TRASP. NAVETTA</t>
  </si>
  <si>
    <t>68/0005/0536 - SERVIZI PULIZIE STADIO</t>
  </si>
  <si>
    <t>68/0005/0545 - SERVIZIO COSTO COPIA</t>
  </si>
  <si>
    <t>68/0005/0550 - ELABORAZIONE DATI E B.STE PAGA</t>
  </si>
  <si>
    <t>68/0005/0628 - RIMB.PIE' DI LISTA AMMINISTRATORI</t>
  </si>
  <si>
    <t>68/0005/0632 - VISITE MEDICHE OBBL.DIPENDENTI</t>
  </si>
  <si>
    <t>per servizi - GESTIONE TRIBUTI</t>
  </si>
  <si>
    <t>68/0005/0790- SERVIZI INIPEC INFOCAMERE</t>
  </si>
  <si>
    <t>68/0005/0748 - COMP. RSPP UFF. TRIBUTI</t>
  </si>
  <si>
    <t>68/0005/0785 - CONTR.ASSIST.ALLARME-TELEFONO TRIBUTI</t>
  </si>
  <si>
    <t>68/0005/0773 - CONTR.ASSIS.UPS UFF TRIBUTI</t>
  </si>
  <si>
    <t>68/0005/0703 - RIMB.PER DISTACCO DIP.COMUNE DI SIENA</t>
  </si>
  <si>
    <t>68/0005/0730 - SPESE CONDOMINIO TRIBUTI-FONTEBRANDA</t>
  </si>
  <si>
    <t>68/0005/0782 - MANUT.EXTRA CONTR. IMP.ELETTRICI TRIBUTI</t>
  </si>
  <si>
    <t>68/0005/0702 - MANUT.E RIPARAZ. IMM.FONTEBRANDA</t>
  </si>
  <si>
    <t>68/0005/0710 - LEGALI E NOTARILI TRIBUTI</t>
  </si>
  <si>
    <t>68/0005/0729 - SPESE SERVIZI SANIFICAZIONE UFF.TRIBUTI</t>
  </si>
  <si>
    <t>68/0005/0728 - SPESE FORMAZIONE TRIBUTI</t>
  </si>
  <si>
    <t>68/0005/0766 - CONTR.ASSIT.IMP.ELETTR.TRIBUTI</t>
  </si>
  <si>
    <t>68/0005/0777 - MANUT.EXTRA CONTR.ANTINCEND.TRIBUTI</t>
  </si>
  <si>
    <t>68/0005/0778 - MANUT.EXTRA RETE DATI UFF.TRIBUTI</t>
  </si>
  <si>
    <t>68/0005/0779 - COMPENSI E CONSULENZE UFFICIO TRIBUTI</t>
  </si>
  <si>
    <t>68/0005/0781 - SPESE PROMOZ. E PROTOCOLLO TRIBUTI</t>
  </si>
  <si>
    <t>68/0005/0784 - MANUT.EXTRA CONTR.CARPENT.TRIBUTI</t>
  </si>
  <si>
    <t>68/0005/0786- MANUT.EXTRA CONTR.CLIMATI.UFF.TRIBUTI</t>
  </si>
  <si>
    <t>68/0005/0787- SP.VARIE DOCUMENTATE TRIBUTI</t>
  </si>
  <si>
    <t>68/0005/0788- SPESE POSTALI TRIBUTI</t>
  </si>
  <si>
    <t>per godimento di beni di terzi</t>
  </si>
  <si>
    <t>per godimento beni di terzi - GESTIONE SOSTA</t>
  </si>
  <si>
    <t>70/0005/0501 - NOLEGGIO FOTOCOPIATRICI</t>
  </si>
  <si>
    <t>per godimento beni di terzi - GESTIONE TRIBUTI</t>
  </si>
  <si>
    <t>70/0005/0701 - AFFITTI PASSIVI IMM.FONTEBRANDA</t>
  </si>
  <si>
    <t>70/0005/0702 - NOLEGGIO PC+ASSIT.UFF.TRIBUTI</t>
  </si>
  <si>
    <t>70/0005/0703 - NOLEG. PROGR.SMART.WORKING UFF. TRIBUTI</t>
  </si>
  <si>
    <t>70/0005/0704 - NOLEG. STAMPANTI UFF. TRIBUTI</t>
  </si>
  <si>
    <t>70/0005/0705 - NOLEG.LICENZA UFIRST APP.AGENDA</t>
  </si>
  <si>
    <t>per il personale</t>
  </si>
  <si>
    <t>Toltale per il personale - GESTIONE SOSTA</t>
  </si>
  <si>
    <t>Totale per il personale- GESTIONE TRIBUTI</t>
  </si>
  <si>
    <t>TOTALE per il personale</t>
  </si>
  <si>
    <t>ammortamenti e svalutazioni</t>
  </si>
  <si>
    <t>ammort. immobilizz. immateriali</t>
  </si>
  <si>
    <t>ammort.immobilizz.immateriali GESTIONE SOSTA</t>
  </si>
  <si>
    <t>74/0035/0503 - AMM.TO UFFICI V.LE CURTATONE</t>
  </si>
  <si>
    <t>74/0005/0502 - AMM.TO SP.NOTAR.MODIF.STATUTARIE</t>
  </si>
  <si>
    <t>74/0035/0501 - AMM.TO COPERT.PARC.SAN FRANCESCO</t>
  </si>
  <si>
    <t>74/0035/0502 - AMM.TO PROGR. COMPUTERS</t>
  </si>
  <si>
    <t>ammort.immobilizz.immateriali GESTIONE TRIBUTI</t>
  </si>
  <si>
    <t>74/0035/0701 - AMM.TO RIQUALIFIC.LOCALI TRBUTI-FONTEBRA</t>
  </si>
  <si>
    <t>74/0035/0702 - AMM.TO PROGRAMMI COMPUTER TRIBUTI</t>
  </si>
  <si>
    <t>ammort. immobilizz. materiali</t>
  </si>
  <si>
    <t>ammort.immobilizz.materiali GESTIONE SOSTA</t>
  </si>
  <si>
    <t>75/0010/0501 - AMM.TO IMPIANTI</t>
  </si>
  <si>
    <t>75/0010/0502 - AMM.TO IMP. ACCESSI ZTL</t>
  </si>
  <si>
    <t>75/0005/0503 - AMM.TO COSTRUZIONI LEGGERE</t>
  </si>
  <si>
    <t>75/0005/0504 - AMM.TO PARC.IL CAMPO P.1</t>
  </si>
  <si>
    <t>75/0005/0505 - AMM.TO UFFICI</t>
  </si>
  <si>
    <t>75/0005/0506 - AMM.TO PARC.V.LE BRACCI</t>
  </si>
  <si>
    <t>75/0005/0507 - AMM.TO PARC. IL CAMPO</t>
  </si>
  <si>
    <t>75/0005/0508 - AMM.TO PARC. SANTA CATERINA</t>
  </si>
  <si>
    <t>75/0005/0509 - AMM.TO UFFICI IL CAMPO</t>
  </si>
  <si>
    <t>75/0005/0510 - AMM.TO PARC. ELIPORTO</t>
  </si>
  <si>
    <t>75/0005/0514 - AMM.TO COP.SANTA CATERINA</t>
  </si>
  <si>
    <t>75/0015/0503 - AMM.TO SEGNALETICA VERTICALE</t>
  </si>
  <si>
    <t>75/0015/0504 - AMM.TO ATTREZZ.PER PARCHEGGI</t>
  </si>
  <si>
    <t>75/0030/0501 - AMM.TO MOBILIO E ARREDAMENTO</t>
  </si>
  <si>
    <t>75/0030/0502 - AMM.TO MACCHINE ELETTR.UFFICIO</t>
  </si>
  <si>
    <t>75/0030/0503 - AMM.TO AUTOMEZZI</t>
  </si>
  <si>
    <t>75/0030/0504 - AMM.TO OPERE D'ARTE FISSE FAGIOLONE</t>
  </si>
  <si>
    <t>75/0030/0505 - AMM.TO MISURATORI FISCALI</t>
  </si>
  <si>
    <t>75/0010/0701 - AMM.TO IMPIANTI UFF. TRIBUTI</t>
  </si>
  <si>
    <t>75/0030/0701 - AMM.TO MOBILIO E ARREDAMENTO UFF. TRIBUT</t>
  </si>
  <si>
    <t>75/0030/0702 - AMM.TO MACC.ELETTR.UFFICIO TRIBUTI</t>
  </si>
  <si>
    <t>TOTALE ammortamenti e svalutazioni</t>
  </si>
  <si>
    <t>variaz.riman.di mat.prime,suss.di cons.e merci</t>
  </si>
  <si>
    <t>80/0005/0010 - BIGL. E MAT. CONSUMO C/RIMANENZE FINALI</t>
  </si>
  <si>
    <t>80/0020/0005 - MATERIALI VARI C/ESIST.INIZIALI</t>
  </si>
  <si>
    <t>80/0020/0010 - MATERIALI VARI C/RIM. FINALI</t>
  </si>
  <si>
    <t>83/005/0501 - ACCANTONAMENTO A MANUT.CICLICA</t>
  </si>
  <si>
    <t>oneri diversi di gestione</t>
  </si>
  <si>
    <t>oneri diversi di gestione - GESTIONE SOSTA</t>
  </si>
  <si>
    <t>84/0005/0005 - IMPOSTA DI BOLLO</t>
  </si>
  <si>
    <t>84/0005/0020 - IMPOSTA DI REGISTRO</t>
  </si>
  <si>
    <t>84/0005/0070 - DIRITTI CAMERALI</t>
  </si>
  <si>
    <t>84/0005/0090 - ALTRE IMPOSTE E TASSE DEDUCIBILI</t>
  </si>
  <si>
    <t>84/0005/0100 - IMPOSTE E TASSE INDEDUCIBILI</t>
  </si>
  <si>
    <t>84/0005/0501 - TASSE DI PROPRIETA' AUTOV. (DEDUC.20%)</t>
  </si>
  <si>
    <t>84/0005/0502 - TASSE DI PROPRIETA' AUTOV. (PARZ.DEDUC.)</t>
  </si>
  <si>
    <t>84/0005/0503 - IMPOSTA DI BOLLO C/C (DEDUC)</t>
  </si>
  <si>
    <t>84/0005/0504 - TASSA VIDIM.LIBR.SOC. (DEDUC)</t>
  </si>
  <si>
    <t>84/0005/0505 - IMPOSTA COM. IMU INDED.</t>
  </si>
  <si>
    <t>84/0010/0005 - PERDITE SU CREDITI</t>
  </si>
  <si>
    <t>84/0010/0015 - ABBONAMENTI RIVISTE,GIORNALI</t>
  </si>
  <si>
    <t>84/0010/0055 - SOPRAV. PASSIVE ORD.INDEDUCIBILI</t>
  </si>
  <si>
    <t>84/0010/0090 - ABBUONI E ARROTONDAM.PASSIVI</t>
  </si>
  <si>
    <t>84/0010/0501 - SOPRAVV.PASS.CAU</t>
  </si>
  <si>
    <t>84/0010/0502 - SOPRAVV.PASS.PARCOMETRI</t>
  </si>
  <si>
    <t>84/0010/0503 - SOPRAVVENIENZE PASSIVE</t>
  </si>
  <si>
    <t>84/0010/0504 - QUOTE ASSOCIATIVE</t>
  </si>
  <si>
    <t>84/0010/0505 - VALORI BOLLATI</t>
  </si>
  <si>
    <t>84/0010/0506 - NETTEZZA URBANA</t>
  </si>
  <si>
    <t>84/0010/0507 - CERTIFICAZIONI VARIE</t>
  </si>
  <si>
    <t>84/0010/0508 - VISURE REC.CREDITI</t>
  </si>
  <si>
    <t>84/0010/0513 - SOPR.PASS.RIMB.CAU</t>
  </si>
  <si>
    <t>84/0010/0514 - SOPR.PASS.RIMB.PARCOMETRI</t>
  </si>
  <si>
    <t>84/0010/0515 - SOPR.PASS.RIMB.VARI</t>
  </si>
  <si>
    <t>oneri diversi di gestione - GESTIONE TRIBUTI</t>
  </si>
  <si>
    <t>84/0005/0705 - IMPOSTA DI BOLLO TRIBUTI</t>
  </si>
  <si>
    <t>84/0005/0720 - IMPOSTA DI REGISTRO TRIBUTI</t>
  </si>
  <si>
    <t>84/0010/0701 - ABBUONI/ARROT.PASSIVI ATT.TRIBUTI</t>
  </si>
  <si>
    <t>84/0010/0703 - SOPRAVVENIENZE PASSIVE TRIBUTI</t>
  </si>
  <si>
    <t>84/0010/0705 - VALORI BOLLATI TRIBUTI</t>
  </si>
  <si>
    <t>84/0010/0706 - TARI NETTEZZA URBANA - TRIBUTI</t>
  </si>
  <si>
    <t>TOTALE COSTI DELLA PRODUZIONE</t>
  </si>
  <si>
    <t>TOTALE DIFFERENZA TRA VALORI E COSTI DI PRODUZIONE</t>
  </si>
  <si>
    <t>PROVENTI E ONERI FINANZIARI</t>
  </si>
  <si>
    <t>Altri proventi finanziari da altri</t>
  </si>
  <si>
    <t>da altri</t>
  </si>
  <si>
    <t>87/0020/0035 - INT.ATT.SU DEPOSITI BANCARI</t>
  </si>
  <si>
    <t>87/0020/0501 - ABBUONI E SCONTI ATTIVI</t>
  </si>
  <si>
    <t>TOTALE proventi finanz. diversi dai precedenti</t>
  </si>
  <si>
    <t>TOTALE Altri proventi finanziari</t>
  </si>
  <si>
    <t>interessi e altri oneri finanziari da debiti verso altri</t>
  </si>
  <si>
    <t xml:space="preserve">da debiti verso altri </t>
  </si>
  <si>
    <t>88/0020/0015 - INTERESSI PASSIVI SU MUTUI</t>
  </si>
  <si>
    <t>TOTALE interessi e altri oneri finanziari</t>
  </si>
  <si>
    <t>Utili e perdite su cambi</t>
  </si>
  <si>
    <t>TOTALE PROVENTI E ONERI FINANZIARI</t>
  </si>
  <si>
    <t>RETTIFICHE DI VALORE DI ATTIV.E PASSIV.FINANZIARIE</t>
  </si>
  <si>
    <t>Rivalutazioni di strumenti finanziari derivati</t>
  </si>
  <si>
    <t>di strumenti finanziari derivati</t>
  </si>
  <si>
    <t>90/0020/0010 - RIVAL.STRUM.FIN.DERIV.CIRCOL.</t>
  </si>
  <si>
    <t>TOTALE Rivalutazioni</t>
  </si>
  <si>
    <t>Svalutazioni di partecipazioni</t>
  </si>
  <si>
    <t>91/0005/0010 - SVAL.DI PART. IN IMPR.COLLEGATE</t>
  </si>
  <si>
    <t>TOTALE Svalutazioni</t>
  </si>
  <si>
    <t>TOTALE RETTIFICHE DI VALORE DI ATTIV.E PASSIV.FINANZIARIE</t>
  </si>
  <si>
    <t>TOTALE RISULTATO PRIMA DELLE IMPOSTE</t>
  </si>
  <si>
    <t>Imposte redd.eserc.,correnti,differite,anticipate</t>
  </si>
  <si>
    <t>imposte correnti</t>
  </si>
  <si>
    <t>96/0005/0010 - IRAP DELL'ESERCIZIO</t>
  </si>
  <si>
    <t>96/0005/0015 - IRES DELL'ESERCIZIO</t>
  </si>
  <si>
    <t>imposte differite e anticipate</t>
  </si>
  <si>
    <t>96/0010/0010 - IMPOSTE ANTICIPATE</t>
  </si>
  <si>
    <t>96/0010/0015 - IMPOSTE ANTICIPATE (STORNO)</t>
  </si>
  <si>
    <t>TOTALE Imposte redd.eserc.,correnti,differite,anticipate</t>
  </si>
  <si>
    <t>Utile (perdite) dell'esercizio</t>
  </si>
  <si>
    <t>emolumenti a professionisti tecnici</t>
  </si>
  <si>
    <t>compenso responsabile protezione dati privacy</t>
  </si>
  <si>
    <t>compenso RSPP</t>
  </si>
  <si>
    <t>visite mediche obbligatorie dipendenti</t>
  </si>
  <si>
    <t>DELLA SIENA PARCHEGGI SPA</t>
  </si>
  <si>
    <t>ELENCO DEGLI ACQUISTI DEL PROGRAMMA</t>
  </si>
  <si>
    <t>NUMERO intervento CUI (1)</t>
  </si>
  <si>
    <t xml:space="preserve">Codice Fiscale Amministrazione </t>
  </si>
  <si>
    <t>Prima annualità del primo programma nel quale l'intervento è stato inserito</t>
  </si>
  <si>
    <t>Annualità nella quale si prevede di dare avvio alla procedura di affidamento</t>
  </si>
  <si>
    <t>Codice CUP (2)</t>
  </si>
  <si>
    <t>Acquisto ricompreso nell'importo complessivo di un lavoro o di altra acquisizione presente in programmazione di lavori, forniture e servizi</t>
  </si>
  <si>
    <t>CUI lavoro o altra acquisizione  nel cui importo complessivo l'acquisto è ricompreso (3)</t>
  </si>
  <si>
    <t>lotto funzionale (4)</t>
  </si>
  <si>
    <t>Ambito geografico di esecuzione dell'Acquisto (Regione/i)</t>
  </si>
  <si>
    <t>Settore</t>
  </si>
  <si>
    <t>CPV (5)</t>
  </si>
  <si>
    <t>DESCRIZIONE DELL'ACQUISTO</t>
  </si>
  <si>
    <t>Livello di priorità (6)</t>
  </si>
  <si>
    <t>Responsabile del Procedimento (7)</t>
  </si>
  <si>
    <t>Durata del contratto</t>
  </si>
  <si>
    <t>L'acquisto è relativo a nuovo affidamento di contratto in essere SI/NO</t>
  </si>
  <si>
    <t>STIMA DEI COSTI DELL'ACQUISTO</t>
  </si>
  <si>
    <t>Acquisto aggiunto o variato a seguito di modifica programma (11)</t>
  </si>
  <si>
    <t>Totale (8)</t>
  </si>
  <si>
    <t>Apporto di capitale privato (9)</t>
  </si>
  <si>
    <t>codice AUSA</t>
  </si>
  <si>
    <t>denominazione</t>
  </si>
  <si>
    <t>Importo</t>
  </si>
  <si>
    <t>Tipologia</t>
  </si>
  <si>
    <t>00792090524202100001</t>
  </si>
  <si>
    <t>00792090524</t>
  </si>
  <si>
    <t>NO</t>
  </si>
  <si>
    <t>no</t>
  </si>
  <si>
    <t>Toscana</t>
  </si>
  <si>
    <t>forniture</t>
  </si>
  <si>
    <t>22459000-2</t>
  </si>
  <si>
    <t>Acquisto Biglietti Parcheggi</t>
  </si>
  <si>
    <t>0000165870</t>
  </si>
  <si>
    <t>Siena parcheggi Spa</t>
  </si>
  <si>
    <t>FORNITURE</t>
  </si>
  <si>
    <t>00792090524202100003</t>
  </si>
  <si>
    <t>No</t>
  </si>
  <si>
    <t>Forniture</t>
  </si>
  <si>
    <t>30192700-8</t>
  </si>
  <si>
    <t>cancelleria</t>
  </si>
  <si>
    <t>00792090524202100004</t>
  </si>
  <si>
    <t>09132000-3</t>
  </si>
  <si>
    <t>Carburanti</t>
  </si>
  <si>
    <t>226120</t>
  </si>
  <si>
    <t>Consip Spa</t>
  </si>
  <si>
    <t>00792090524202100005</t>
  </si>
  <si>
    <t>31000000-6</t>
  </si>
  <si>
    <t>prodotti di Consumo</t>
  </si>
  <si>
    <t>00792090524202100006</t>
  </si>
  <si>
    <t>Servizi</t>
  </si>
  <si>
    <t>72250000-2</t>
  </si>
  <si>
    <t>00792090524202100007</t>
  </si>
  <si>
    <t>71356000-8</t>
  </si>
  <si>
    <t>98351000-8</t>
  </si>
  <si>
    <t>00792090524202100009</t>
  </si>
  <si>
    <t>77310000-6</t>
  </si>
  <si>
    <t>Manutenzione aree verdi</t>
  </si>
  <si>
    <t>007920905242021000011</t>
  </si>
  <si>
    <t>66517300-0</t>
  </si>
  <si>
    <t>Servizi assicurativi</t>
  </si>
  <si>
    <t>007920905242021000012</t>
  </si>
  <si>
    <t>007920905242021000013</t>
  </si>
  <si>
    <t>79342200-5</t>
  </si>
  <si>
    <t>sponsorizzazioni</t>
  </si>
  <si>
    <t>007920905242021000014</t>
  </si>
  <si>
    <t>41110000-3</t>
  </si>
  <si>
    <t>Fornitura di acquedotto</t>
  </si>
  <si>
    <t>007920905242021000015</t>
  </si>
  <si>
    <t>SERVIZI</t>
  </si>
  <si>
    <t>55300000-3</t>
  </si>
  <si>
    <t>Servizi di ristorazione</t>
  </si>
  <si>
    <t>007920905242021000016</t>
  </si>
  <si>
    <t>Fornitura</t>
  </si>
  <si>
    <t>65300000-6</t>
  </si>
  <si>
    <t>Energia elettrica</t>
  </si>
  <si>
    <t>007920905242021000017</t>
  </si>
  <si>
    <t>65210000-8</t>
  </si>
  <si>
    <t>Fornitura Gas</t>
  </si>
  <si>
    <t>007920905242021000018</t>
  </si>
  <si>
    <t>servizi</t>
  </si>
  <si>
    <t>79110000-8</t>
  </si>
  <si>
    <t>servizi legali</t>
  </si>
  <si>
    <t>007920905242021000019</t>
  </si>
  <si>
    <t>79341000-6</t>
  </si>
  <si>
    <t>servizi pubblicitari</t>
  </si>
  <si>
    <t>007920905242021000020</t>
  </si>
  <si>
    <t>72318000-7</t>
  </si>
  <si>
    <t>Servizi di connettività</t>
  </si>
  <si>
    <t>007920905242021000021</t>
  </si>
  <si>
    <t>79632000-3</t>
  </si>
  <si>
    <t>spese per partecipazione a convegni e spese varie</t>
  </si>
  <si>
    <t>007920905242021000022</t>
  </si>
  <si>
    <t>64110000-0</t>
  </si>
  <si>
    <t>servizi postali</t>
  </si>
  <si>
    <t>007920905242021000023</t>
  </si>
  <si>
    <t>64210000-1</t>
  </si>
  <si>
    <t>007920905242021000024</t>
  </si>
  <si>
    <t>fornitura</t>
  </si>
  <si>
    <t>34980000-0</t>
  </si>
  <si>
    <t>spese per trasporti,diarie</t>
  </si>
  <si>
    <t>007920905242021000025</t>
  </si>
  <si>
    <t>98341140-8</t>
  </si>
  <si>
    <t>servizio di vigilanza</t>
  </si>
  <si>
    <t>007920905242021000026</t>
  </si>
  <si>
    <t>79200000-6</t>
  </si>
  <si>
    <t>servizi di revisione dei conti</t>
  </si>
  <si>
    <t>007920905242021000029</t>
  </si>
  <si>
    <t>75130000-6</t>
  </si>
  <si>
    <t>007920905242021000030</t>
  </si>
  <si>
    <t>servizi di formazione</t>
  </si>
  <si>
    <t>007920905242021000031</t>
  </si>
  <si>
    <t>79000000-4</t>
  </si>
  <si>
    <t>Servizi di consulenze</t>
  </si>
  <si>
    <t>007920905242021000032</t>
  </si>
  <si>
    <t>30199770-8</t>
  </si>
  <si>
    <t>Buoni pasto</t>
  </si>
  <si>
    <t>007920905242021000033</t>
  </si>
  <si>
    <t>66110000-4</t>
  </si>
  <si>
    <t>servizi bancari</t>
  </si>
  <si>
    <t>007920905242021000034</t>
  </si>
  <si>
    <t>79521000-2</t>
  </si>
  <si>
    <t>servizio nolo fotocopiatrici</t>
  </si>
  <si>
    <t>007920905242021000035</t>
  </si>
  <si>
    <t>22200000-2</t>
  </si>
  <si>
    <t>Giornali,riviste,libri</t>
  </si>
  <si>
    <t>007920905242021000036</t>
  </si>
  <si>
    <t>79130000-4</t>
  </si>
  <si>
    <t>servizi di certificazione</t>
  </si>
  <si>
    <t>007920905242021000041</t>
  </si>
  <si>
    <t>72320000-4</t>
  </si>
  <si>
    <t xml:space="preserve">servizi di visure </t>
  </si>
  <si>
    <t>somma (12)</t>
  </si>
  <si>
    <t>Note</t>
  </si>
  <si>
    <t>(1) Codice CUI = cf amministrazione + prima annualità del primo programma nel quale l'intervento è stato inserito + progressivo di 5 cifre dalla prima annualità del primo programma</t>
  </si>
  <si>
    <t>(2) Indica il CUP (cfr. articolo 6 comma 4)</t>
  </si>
  <si>
    <t>Il referente del programma</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</si>
  <si>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</si>
  <si>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Il Direttore Generale Ing. Annaclaudia Bonifazi</t>
  </si>
  <si>
    <t>(4) Indica se lotto funzionale secondo la definizione di cui all’art.3 comma 1 lettera qq) del D.Lgs.50/2016</t>
  </si>
  <si>
    <t>(5) Relativa a CPV principale. Deve essere rispettata la coerenza, per le prime due cifre, con il settore: F= CPV&lt;45 o 48; S= CPV&gt;48</t>
  </si>
  <si>
    <t>(6) Indica il livello di priorità di cui all'articolo 6 commi 10 e 11</t>
  </si>
  <si>
    <t>Ulteriori dati (campi da compilare non visualizzate nel Programma biennale)</t>
  </si>
  <si>
    <t xml:space="preserve">(7) Riportare nome e cognome del responsabile del procedimento </t>
  </si>
  <si>
    <t>Responsabile del procedimento</t>
  </si>
  <si>
    <t>Walter manni</t>
  </si>
  <si>
    <t xml:space="preserve">(8) Importo complessivo ai sensi dell'articolo 6, comma 5, ivi incluse le spese eventualmente sostenute antecedentemente alla prima annualità </t>
  </si>
  <si>
    <t>(9) Riportare l'importo del capitale privato come quota parte dell'importo complessivo</t>
  </si>
  <si>
    <t>Quadro delle risorse necessarie per la realizzazione dell'acquisto</t>
  </si>
  <si>
    <t>(10) Dati obbligatori per i soli acquisti ricompresi nella prima annualità (Cfr. articolo 8)</t>
  </si>
  <si>
    <t>tipologia di risorse</t>
  </si>
  <si>
    <t>primo anno</t>
  </si>
  <si>
    <t>anno</t>
  </si>
  <si>
    <t>annualità successive</t>
  </si>
  <si>
    <t>(11) Indica se l'acquisto è stato aggiunto o è stato modificato a seguito di modifica in corso d'anno ai sensi dell'art.7 commi 8 e 9. Tale campo, come la relativa nota e tabella, compaiono solo in caso di modifica del programma</t>
  </si>
  <si>
    <t>risorse derivanti da entrate aventi destinazione vincolata per legge</t>
  </si>
  <si>
    <t>importo</t>
  </si>
  <si>
    <t>(12) La somma è calcolata al netto dell'importo degli acquisti ricompresi nell'importo complessivo di un lavoro o di altra acquisizione presente in programmazione di lavori, forniture e servizi</t>
  </si>
  <si>
    <t>risorse acquisite mediante apporti di capitali privati</t>
  </si>
  <si>
    <t>stanziamenti di bilancio</t>
  </si>
  <si>
    <t>finanziamenti ai sensi dell'art. 3 del DL 310/1990 convertito dalla L. 403/1990</t>
  </si>
  <si>
    <t>Tabella B.1</t>
  </si>
  <si>
    <t>risorse derivanti da trasferimento di immobili ex art.191 D.Lgs. 50/2016</t>
  </si>
  <si>
    <t>1. priorità massima</t>
  </si>
  <si>
    <t>Altra tipologia</t>
  </si>
  <si>
    <t>2. priorità media</t>
  </si>
  <si>
    <t>3. priorità minima</t>
  </si>
  <si>
    <t>Tabella B.2</t>
  </si>
  <si>
    <t>1. modifica ex art.7 comma 8 lettera b)</t>
  </si>
  <si>
    <t>2. modifica ex art.7 comma 8 lettera c)</t>
  </si>
  <si>
    <t>3. modifica ex art.7 comma 8 lettera d)</t>
  </si>
  <si>
    <t>4. modifica ex art.7 comma 8 lettera e)</t>
  </si>
  <si>
    <t>5. modifica ex art.7 comma 9</t>
  </si>
  <si>
    <r>
      <t>CENTRALE DI COMMITTENZA O SOGGETTO AGGREGATORE AL QUALE SI FARA' RICORSO PER L'ESPLETAMENTO DELLA</t>
    </r>
    <r>
      <rPr>
        <b/>
        <strike/>
        <sz val="10"/>
        <rFont val="Arial"/>
        <family val="2"/>
      </rPr>
      <t xml:space="preserve"> </t>
    </r>
    <r>
      <rPr>
        <b/>
        <sz val="10"/>
        <rFont val="Arial"/>
        <family val="2"/>
      </rPr>
      <t>PROCEDURA DI AFFIDAMENTO (10)</t>
    </r>
  </si>
  <si>
    <t>dispositivi di protezione Covid-19</t>
  </si>
  <si>
    <t xml:space="preserve">acquisti di beni inferiori a 516,26 </t>
  </si>
  <si>
    <t xml:space="preserve">servizi telefonici </t>
  </si>
  <si>
    <t>Servizi di gestione e controllo di tutte le attività di funzionamento delle aree di sosta ed impianti di risalita meccanizzata, pulizie, sanificazione, servizio accoglienza bus turistici ed altri servizi accessori da svolgersi all'interno delle aree, parcheggi ed immobili della Siena Parcheggi Spa.</t>
  </si>
  <si>
    <t>contratti di assistenza per automazione parcheggi, parcometri, impianti elettrici, antincendio, impianti di risalite e ascensori e videosorveglianza</t>
  </si>
  <si>
    <t>contratti di assistenza programmi contabilità, affari generali, server</t>
  </si>
  <si>
    <t>spese per servizi</t>
  </si>
  <si>
    <t>compensi consulenza fiscale e intermediario telematico</t>
  </si>
  <si>
    <t>compenso organismo di vigilanza</t>
  </si>
  <si>
    <t>compenso revisione qualità e internal audit</t>
  </si>
  <si>
    <t>servizi elaborazione buste paga</t>
  </si>
  <si>
    <t>compenso medico competente</t>
  </si>
  <si>
    <t>servizio noleggio piattaforma privacy</t>
  </si>
  <si>
    <t>servizio noleggio programma teamwiewer</t>
  </si>
  <si>
    <t>servizio noleggio programma smart working</t>
  </si>
  <si>
    <t>cancelleria TR</t>
  </si>
  <si>
    <t>acquisti di beni inferiori a 516,26 TR</t>
  </si>
  <si>
    <t>prodotti di Consumo TR</t>
  </si>
  <si>
    <t>Energia elettrica TR</t>
  </si>
  <si>
    <t>servizio di vigilanza- TR</t>
  </si>
  <si>
    <t>servizi di postalizzazione invi atti giudiziari e Tari - TR</t>
  </si>
  <si>
    <t>compenso RSPP TR</t>
  </si>
  <si>
    <t>servizi di formazione - TR</t>
  </si>
  <si>
    <t>spese per servizi di pulizia e sanificazione locali - TR</t>
  </si>
  <si>
    <t>servizio noleggio stampanti - TR</t>
  </si>
  <si>
    <t>servizio noleggio pc e assistenza - TR</t>
  </si>
  <si>
    <t>servizio noleggio licenza U-First e App agenda appuntamenti -TR</t>
  </si>
  <si>
    <t>Giornali,riviste,libri TR</t>
  </si>
  <si>
    <t>servizi di manutenzione automezzi aziendali</t>
  </si>
  <si>
    <t>manutenzione rete dati e gestionale Ztl</t>
  </si>
  <si>
    <t>INTERVENTI RICOMPRESI NELL'ELENCO ANNUALE</t>
  </si>
  <si>
    <t>CODICE UNICO INTERVENTO - CUI</t>
  </si>
  <si>
    <t>CUP</t>
  </si>
  <si>
    <t>DESCRIZIONE INTERVENTO</t>
  </si>
  <si>
    <t>RESPONSABILE DEL PROCEDIMENTO</t>
  </si>
  <si>
    <t>Importo annualità 2022</t>
  </si>
  <si>
    <t>Importo annualità 2023</t>
  </si>
  <si>
    <t>IMPORTO INTERVENTO</t>
  </si>
  <si>
    <t>Finalità</t>
  </si>
  <si>
    <t>Livello di priorità</t>
  </si>
  <si>
    <t>Conformità Urbanistica</t>
  </si>
  <si>
    <t>Verifica vincoli ambientali</t>
  </si>
  <si>
    <t>LIVELLO DI PROGETTAZIONE</t>
  </si>
  <si>
    <t>CENTRALE DI COMMITTENZA O SOGGETTO AGGREGATORE AL QUALE SI INTENDE DELEGARE LA PROCEDURA DI AFFIDAMENTO</t>
  </si>
  <si>
    <t>Intervento aggiunto o variato a seguito di modifica programma (*)</t>
  </si>
  <si>
    <t xml:space="preserve"> MANUTENZIONI EDILI</t>
  </si>
  <si>
    <t>si</t>
  </si>
  <si>
    <t>00792090524202100002</t>
  </si>
  <si>
    <t xml:space="preserve"> MANUTENZIONI CARPENTERIA</t>
  </si>
  <si>
    <t xml:space="preserve"> MANUTENZ. ATTI VANDAL. E ATMOSF.PARCHEGG</t>
  </si>
  <si>
    <t>MAN.EXTRA CONTR. ANTINCENDIO</t>
  </si>
  <si>
    <t>00792090524202100008</t>
  </si>
  <si>
    <t>MAN.EXTRA CONTR. IMP.ELETT. IDRAULICI</t>
  </si>
  <si>
    <t xml:space="preserve"> MANUT.INTERV.PARCOMETRI E PARCHEGGI</t>
  </si>
  <si>
    <t>007920905242021000010</t>
  </si>
  <si>
    <t>MAN.CERT.RISALITE-ASCENS.-VARCHI-IMPIANT</t>
  </si>
  <si>
    <t xml:space="preserve"> MANUT.E RIPARAZ. IMM.FONTEBRANDA - TR</t>
  </si>
  <si>
    <t>(*) Tale campo compare solo in caso di modifica del programma</t>
  </si>
  <si>
    <t xml:space="preserve">Tabella E.1 </t>
  </si>
  <si>
    <t>ADN - Adeguamento normativo</t>
  </si>
  <si>
    <t>AMB - Qualità ambientale</t>
  </si>
  <si>
    <t>COP - Completamento Opera Incompiuta</t>
  </si>
  <si>
    <t>CPA - Conservazione del patrimonio</t>
  </si>
  <si>
    <t>MIS - Miglioramento e incremento di servizio</t>
  </si>
  <si>
    <t>URB - Qualità urbana</t>
  </si>
  <si>
    <t>VAB - Valorizzazione beni vincolati</t>
  </si>
  <si>
    <t>DEM - Demolizione Opera Incompiuta</t>
  </si>
  <si>
    <t>DEOP - Demolizione opere preesistenti e non più utilizzabili</t>
  </si>
  <si>
    <t>Tabella E.2</t>
  </si>
  <si>
    <t>1. progetto di fattibilità tecnico - economica: “documento di fattibilità delle alternative progettuali”.</t>
  </si>
  <si>
    <t>2. progetto di fattibilità tecnico - economica: “documento finale”.</t>
  </si>
  <si>
    <t>3. progetto definitivo</t>
  </si>
  <si>
    <t>4. progetto esecutivo</t>
  </si>
  <si>
    <t>00792090525</t>
  </si>
  <si>
    <t>007920905242021000027</t>
  </si>
  <si>
    <t>007920905242021000028</t>
  </si>
  <si>
    <t>007920905242021000037</t>
  </si>
  <si>
    <t>007920905242021000038</t>
  </si>
  <si>
    <t>007920905242021000039</t>
  </si>
  <si>
    <t>007920905242021000040</t>
  </si>
  <si>
    <t>007920905242021000042</t>
  </si>
  <si>
    <t>007920905242021000043</t>
  </si>
  <si>
    <t>007920905242021000044</t>
  </si>
  <si>
    <t>79521000-3</t>
  </si>
  <si>
    <t>79521000-4</t>
  </si>
  <si>
    <t>79521000-5</t>
  </si>
  <si>
    <t>007920905242021000045</t>
  </si>
  <si>
    <t>007920905242021000046</t>
  </si>
  <si>
    <t>007920905242021000047</t>
  </si>
  <si>
    <t>007920905242021000048</t>
  </si>
  <si>
    <t>007920905242021000049</t>
  </si>
  <si>
    <t>007920905242021000050</t>
  </si>
  <si>
    <t>50110000-9</t>
  </si>
  <si>
    <t>72700000-7</t>
  </si>
  <si>
    <t>00792090524202200001</t>
  </si>
  <si>
    <t>00792090524202200002</t>
  </si>
  <si>
    <t>30192700-9</t>
  </si>
  <si>
    <t>35113400-3</t>
  </si>
  <si>
    <t>00792090524202200003</t>
  </si>
  <si>
    <t>00792090524202200004</t>
  </si>
  <si>
    <t>00792090524202200005</t>
  </si>
  <si>
    <t>79100000-0</t>
  </si>
  <si>
    <t>85312320-8</t>
  </si>
  <si>
    <t>00792090524202200006</t>
  </si>
  <si>
    <t>00792090524202200007</t>
  </si>
  <si>
    <t>00792090524202200008</t>
  </si>
  <si>
    <t>00792090524202200009</t>
  </si>
  <si>
    <t>007920905242022000010</t>
  </si>
  <si>
    <t>007920905242022000011</t>
  </si>
  <si>
    <t>007920905242022000012</t>
  </si>
  <si>
    <t>007920905242022000013</t>
  </si>
  <si>
    <t>007920905242022000014</t>
  </si>
  <si>
    <t>007920905242022000015</t>
  </si>
  <si>
    <t>007920905242022000016</t>
  </si>
  <si>
    <t>007920905242022000017</t>
  </si>
  <si>
    <t>007920905242022000018</t>
  </si>
  <si>
    <t>007920905242022000019</t>
  </si>
  <si>
    <t>007920905242022000020</t>
  </si>
  <si>
    <t>007920905242022000021</t>
  </si>
  <si>
    <t>007920905242022000022</t>
  </si>
  <si>
    <t>007920905242022000023</t>
  </si>
  <si>
    <t>007920905242022000024</t>
  </si>
  <si>
    <t>007920905242022000025</t>
  </si>
  <si>
    <t>007920905242022000026</t>
  </si>
  <si>
    <t>007920905242022000027</t>
  </si>
  <si>
    <t>007920905242022000028</t>
  </si>
  <si>
    <t>007920905242022000029</t>
  </si>
  <si>
    <t>007920905242022000030</t>
  </si>
  <si>
    <t>007920905242022000031</t>
  </si>
  <si>
    <t>007920905242022000032</t>
  </si>
  <si>
    <t>007920905242022000033</t>
  </si>
  <si>
    <t>007920905242022000034</t>
  </si>
  <si>
    <t>007920905242022000035</t>
  </si>
  <si>
    <t>007920905242022000036</t>
  </si>
  <si>
    <t>007920905242022000037</t>
  </si>
  <si>
    <t>007920905242022000038</t>
  </si>
  <si>
    <t>007920905242022000039</t>
  </si>
  <si>
    <t>007920905242022000040</t>
  </si>
  <si>
    <t>007920905242022000041</t>
  </si>
  <si>
    <t>007920905242022000042</t>
  </si>
  <si>
    <t>007920905242022000043</t>
  </si>
  <si>
    <t>007920905242022000044</t>
  </si>
  <si>
    <t>007920905242022000045</t>
  </si>
  <si>
    <t>007920905242022000046</t>
  </si>
  <si>
    <t>007920905242022000047</t>
  </si>
  <si>
    <t>007920905242022000048</t>
  </si>
  <si>
    <t>79631000-6</t>
  </si>
  <si>
    <t>30120000-6</t>
  </si>
  <si>
    <t>70210000-6</t>
  </si>
  <si>
    <t>007920905242021000051</t>
  </si>
  <si>
    <t>007920905242021000052</t>
  </si>
  <si>
    <t>007920905242021000053</t>
  </si>
  <si>
    <t>007920905242021000054</t>
  </si>
  <si>
    <t>007920905242021000055</t>
  </si>
  <si>
    <t>50413200-5</t>
  </si>
  <si>
    <t>72261000-2</t>
  </si>
  <si>
    <t>007920905242021000057</t>
  </si>
  <si>
    <t>007920905242021000058</t>
  </si>
  <si>
    <t>007920905242021000059</t>
  </si>
  <si>
    <t>007920905242021000060</t>
  </si>
  <si>
    <t>79417000-6</t>
  </si>
  <si>
    <t>007920905242021000061</t>
  </si>
  <si>
    <t>007920905242021000062</t>
  </si>
  <si>
    <t>007920905242021000064</t>
  </si>
  <si>
    <t>007920905242021000065</t>
  </si>
  <si>
    <t>007920905242021000066</t>
  </si>
  <si>
    <t>007920905242021000067</t>
  </si>
  <si>
    <t>007920905242021000068</t>
  </si>
  <si>
    <t>90910000-9</t>
  </si>
  <si>
    <t>007920905242021000086</t>
  </si>
  <si>
    <t>007920905242021000088</t>
  </si>
  <si>
    <t>ALLEGATO II - SCHEDA B : PROGRAMMA BIENNALE DEGLI ACQUISTI DI FORNITURE E SERVIZI 2022-2023</t>
  </si>
  <si>
    <t>Primo anno 2022</t>
  </si>
  <si>
    <t>Secondo anno 2023</t>
  </si>
  <si>
    <t>Costi su annualità successive  (2024)</t>
  </si>
  <si>
    <t>FORECAST 2021 PRESENTATO CDA</t>
  </si>
  <si>
    <t>CONSUNTIVO 2021</t>
  </si>
  <si>
    <t>DIFFERENZA 2021-2020</t>
  </si>
  <si>
    <t>BUDGET 2022</t>
  </si>
  <si>
    <t>ALTRI RICAVI ABBONAMENTI, RICARICHE, BOLLINI, ECC….2021</t>
  </si>
  <si>
    <t>PREVISIONI AL 30/11/2021</t>
  </si>
  <si>
    <t>PREVISIONI AL 30/11/2021- CON RICAVI CONSUNTIVI</t>
  </si>
  <si>
    <t>BUDGET 2023</t>
  </si>
  <si>
    <t>BUDGET 2024</t>
  </si>
  <si>
    <t>CONTRATTO</t>
  </si>
  <si>
    <t xml:space="preserve">SCADENZA CONTRATTO </t>
  </si>
  <si>
    <t>IMPORTO PREV. GIULIA ANNUALE</t>
  </si>
  <si>
    <t>ricavi delle vendite e delle prestazioni - SMS</t>
  </si>
  <si>
    <t xml:space="preserve">CONTRIBUTI IN CONTO ESERCIZIO </t>
  </si>
  <si>
    <t>64/0005/0519 CONTRIBUTO A FONDO PERDUTO</t>
  </si>
  <si>
    <t>64/10/503 - CONTR. C/IMPOST. SANIFICAZINE 2021 NON IMPONIBILE</t>
  </si>
  <si>
    <t>64/0010/0504 - CONTRIBUTO PEREQUATIVO RICHIESTO A DICEMBRE 21</t>
  </si>
  <si>
    <t>ALTRI RICAVI E PROVENTI</t>
  </si>
  <si>
    <t>64/0005/0100 -  ABBUONI E ATTOTOND.ATTIVI IMP.</t>
  </si>
  <si>
    <t>64/0005/0504 - PLUSVALENZE CESS. BENI PATRIMONIALI</t>
  </si>
  <si>
    <t>vendita auto Ugo Scotti</t>
  </si>
  <si>
    <t>64/0005/0509 - CONTR.DA FONDIR</t>
  </si>
  <si>
    <t>64/0005/0513 - ALTRI PROV. BONUS ADEG.REG.CASSA 2019</t>
  </si>
  <si>
    <t>64/0005/0518 - SOPRAVVENIENZE ATTIVE DA RIMBORSI</t>
  </si>
  <si>
    <t>64/0005/0520- SOPRAVV. ATTIVE PARCOM.801 FAGIOLONE</t>
  </si>
  <si>
    <t>64/05/522 - ALTRI PROV. CRED.IMPOSTA SUPERAMM.SP 2021</t>
  </si>
  <si>
    <t>ALTRI PROV.CRED.IMPOSTA SUPERAMM.SP 2022</t>
  </si>
  <si>
    <t>64/0005/0702 - CREDITO IMPOSTA SUPERAMM.2020 TRIBUTI</t>
  </si>
  <si>
    <t>64/0005/0703 - ALTRI PROVENTI RIMBORSO COMUNE SPESE</t>
  </si>
  <si>
    <t>64/0005/0704 - ALTRI PROV. CRED.IMPOST. SUPERAM. TRIB. 2021</t>
  </si>
  <si>
    <t>ALTRI PROV.CRED.IMPOSTA SUPERAMM.TRIBUTI 2022</t>
  </si>
  <si>
    <t>altri ricavi e proventi - SMS</t>
  </si>
  <si>
    <t>eco laser /</t>
  </si>
  <si>
    <t>orfix</t>
  </si>
  <si>
    <t>italiana petroli</t>
  </si>
  <si>
    <t>66/0005/0705- PRODOTTI DI CONSUMO TRIBUTI</t>
  </si>
  <si>
    <t>Materie prime, suss., di cons. e merci - SMS</t>
  </si>
  <si>
    <t>MATERIE PRIME DI CONSUMO</t>
  </si>
  <si>
    <t>agsm</t>
  </si>
  <si>
    <t>68/0005/0503 - TELEFONO da piano Fabiani 21,000 annui dal 2022 per Tim + terrecablate (vedi scheda)</t>
  </si>
  <si>
    <t>terrecablate/telecom</t>
  </si>
  <si>
    <t>telecom</t>
  </si>
  <si>
    <t>ESTRA ENERGIE</t>
  </si>
  <si>
    <t>acquedotto del fiora</t>
  </si>
  <si>
    <t>Ricavi &lt;5.000.000,00 euro</t>
  </si>
  <si>
    <t>Canone 500.000,00 euro+ iva</t>
  </si>
  <si>
    <t>5.000.000,00 &lt;Ricavi &lt; 6.000.000,00</t>
  </si>
  <si>
    <t>Canone 750.000,00 euro + iva</t>
  </si>
  <si>
    <t>samarcanda</t>
  </si>
  <si>
    <t>nuovo affidamento da confermare</t>
  </si>
  <si>
    <t>6.000.000,00 &lt; Ricavi &lt; 7.000.000,00</t>
  </si>
  <si>
    <t>Canone 1.500.000,00 euro + iva</t>
  </si>
  <si>
    <t>?</t>
  </si>
  <si>
    <t>aumento di 1000 euro prevedendo un aumento per il trasporto valori</t>
  </si>
  <si>
    <t>BTV e COIN</t>
  </si>
  <si>
    <t>01/11/2021 btv</t>
  </si>
  <si>
    <t>probabilmente spenderemo meno di sanificazione</t>
  </si>
  <si>
    <t>7.000.000,00 &lt; Ricavi &lt; 8.000.000,00</t>
  </si>
  <si>
    <t>Canone 2.000.000,00 euro+ iva</t>
  </si>
  <si>
    <t>Ricavi &gt; 8.000.000,00 euro</t>
  </si>
  <si>
    <t>Canone 2.500.000,00 euro+ iva</t>
  </si>
  <si>
    <t>previste maggiori spese per aumento incassi carte di credito</t>
  </si>
  <si>
    <t>previsti maggiori costi per comissioni nexi incassi bus</t>
  </si>
  <si>
    <t>designa</t>
  </si>
  <si>
    <t>è cambiato il contratto</t>
  </si>
  <si>
    <t>tecnoservice</t>
  </si>
  <si>
    <t>fino alla prossima gara</t>
  </si>
  <si>
    <t>centro sicurezza</t>
  </si>
  <si>
    <t>ditech srl</t>
  </si>
  <si>
    <t>schindler</t>
  </si>
  <si>
    <t>prorogato fino a nuova gara</t>
  </si>
  <si>
    <t>readytec</t>
  </si>
  <si>
    <t>deck park</t>
  </si>
  <si>
    <t>sicon</t>
  </si>
  <si>
    <t>safety &amp; privacy</t>
  </si>
  <si>
    <t>sitrade</t>
  </si>
  <si>
    <t>MAGGIOLI</t>
  </si>
  <si>
    <t>solo quota annuale abb.</t>
  </si>
  <si>
    <t>ACI</t>
  </si>
  <si>
    <t>dinamo</t>
  </si>
  <si>
    <t>fonet</t>
  </si>
  <si>
    <t>per SMS</t>
  </si>
  <si>
    <t>68/0005/0638 - CONTR.ASSIST.ZTL SISMIC</t>
  </si>
  <si>
    <t>sismic</t>
  </si>
  <si>
    <t>68/05/637- ASSIC.COLPA GRAVE SP LEGALI RSPP</t>
  </si>
  <si>
    <t>68/0005/0523 - MANUTENZIONI AREE VERDI- piano fabiani</t>
  </si>
  <si>
    <t>verde cappelli/ g. boscaglia</t>
  </si>
  <si>
    <t>68/0005/0622 - MANUTENZIONI EDILI- piano fabiani</t>
  </si>
  <si>
    <t>soces</t>
  </si>
  <si>
    <t>va rifatto l'affidamento per i prossimi 2 anni</t>
  </si>
  <si>
    <t>68/0005/0623 - MANUTENZIONI CARPENTERIA- piano Fabiani</t>
  </si>
  <si>
    <t>comea</t>
  </si>
  <si>
    <t>68/0005/0582 - MAN.EXTRA CONTR. CONTABANCONOTE</t>
  </si>
  <si>
    <t>68/0005/0625 - MANUT. ATTI VANDALICI ZTL</t>
  </si>
  <si>
    <t>68/0005/0577 - MAN.EXTRA CONTR. ANTINCENDIO- piano fabiani</t>
  </si>
  <si>
    <t>68/0005/0578 - MAN.EXTRA CONTR. IMP.ELETT. IDRAULICI- piano fabiani</t>
  </si>
  <si>
    <t>comea/ct elettronica/saima sicurezza</t>
  </si>
  <si>
    <t>68/0005/0581 - MAN.CERT.RISALITE-ASCENS.-VARCHI-IMPIANT- da piano fabiani</t>
  </si>
  <si>
    <t>secur control/schindler</t>
  </si>
  <si>
    <t>68/05/0583 - MANUT.SEGNALETICA ORIZZON. Aree a raso- piano fabiani</t>
  </si>
  <si>
    <t>manutenzione segnaletica orizzontale Parcheggi in struttura- piano fabiani</t>
  </si>
  <si>
    <t>68/0005/0588 - COMP.DIREZ. LAV. UFFICI GALLERIA IL CAMP</t>
  </si>
  <si>
    <t>siena auto</t>
  </si>
  <si>
    <t>68/0005/0543 - MANUT.ILLUM.EMERGENZA IL CAMPO</t>
  </si>
  <si>
    <t>PROQUALITY/readytec/sg consulting/silog</t>
  </si>
  <si>
    <t>68/0005/0561- MANUTENZIONE UFFICI GALLERIA</t>
  </si>
  <si>
    <t>68/0005/0590 - COMP. Direz. Lavori ILLUMINAZ. EMERG.5 PARCHEGGI</t>
  </si>
  <si>
    <t>palandri &amp; belli</t>
  </si>
  <si>
    <t>fattura da ricevere Centro Studi Enti locali</t>
  </si>
  <si>
    <t>altre spese per parcheggi extra contratto ditech e designa e safety- VEDI PIANO FABIANI</t>
  </si>
  <si>
    <t>extra contratto rete dat (fonet, proquality, sg consulting)</t>
  </si>
  <si>
    <t>terrecablate</t>
  </si>
  <si>
    <t>da riaffidare</t>
  </si>
  <si>
    <t>corpo vigili giurati</t>
  </si>
  <si>
    <t>??? Rinnoviamo a Sicurdata?</t>
  </si>
  <si>
    <t>sicurdata- da confermare</t>
  </si>
  <si>
    <t>??? Stimato stesso costo pensando di rinnovare a Bartalini 10.000 all'anno</t>
  </si>
  <si>
    <t>ricci enrico/bartalini</t>
  </si>
  <si>
    <t>31/12/2025-31/12/2021</t>
  </si>
  <si>
    <t>5200 bartalini</t>
  </si>
  <si>
    <t>intero anno con Cavallini</t>
  </si>
  <si>
    <t>CAVALLINI</t>
  </si>
  <si>
    <t>rinnoviamo alla Cioni a 10.400 all'anno????</t>
  </si>
  <si>
    <t>CIONI</t>
  </si>
  <si>
    <t>nessun costo</t>
  </si>
  <si>
    <t>PITAGORA</t>
  </si>
  <si>
    <t>FINITO</t>
  </si>
  <si>
    <t xml:space="preserve">cagnacci </t>
  </si>
  <si>
    <t>prof. Sartorelli</t>
  </si>
  <si>
    <t>68/0005/0544 - SPESE CONSUL.RISCHIO AMIANTO</t>
  </si>
  <si>
    <t>stimando zero il compenso del presidente e quindi pensando che venga rinnovato il suo mandato per il 2022</t>
  </si>
  <si>
    <t>stimando di rinnovare al Liti la convenzione alle stesse condizioni per il 2022</t>
  </si>
  <si>
    <t>LITI MASSIMILIANO</t>
  </si>
  <si>
    <t>stimando un aumento per aumento  di personale assunto</t>
  </si>
  <si>
    <t>arti grafiche nencini</t>
  </si>
  <si>
    <t>assoservizi</t>
  </si>
  <si>
    <t>fusi forniture/info srl/telecom</t>
  </si>
  <si>
    <t>68/05/520 - centro studi enti locali</t>
  </si>
  <si>
    <t>stima costi di riattivazione costo navetta da strad ai pescaia a risalita costone</t>
  </si>
  <si>
    <t>ELLESSE SERVIZI SRL</t>
  </si>
  <si>
    <t>CENTRO UFFICIO</t>
  </si>
  <si>
    <t>ho aggiunto 500€ di copie extra</t>
  </si>
  <si>
    <t>stima maggiori costi per aumento elaborazione buste paga</t>
  </si>
  <si>
    <t>LOGOS SRL</t>
  </si>
  <si>
    <t>stimati costi presunti</t>
  </si>
  <si>
    <t>università di siena</t>
  </si>
  <si>
    <t>68/0005/0633- SERVIZI DI DERATTIZZAZIONE</t>
  </si>
  <si>
    <t>cedit</t>
  </si>
  <si>
    <t>deratt+ allontanamento volatili</t>
  </si>
  <si>
    <t>68/0005/0634 - CANONE SUITE LOG PRIVACY</t>
  </si>
  <si>
    <t>sicurdata</t>
  </si>
  <si>
    <t>68/0005/0635 - CANONE LICENZA TEAMWIEVER</t>
  </si>
  <si>
    <t>team viewer</t>
  </si>
  <si>
    <t>68/0005/0636 - CANONE LICENZA GUACAMOLE SMART WORKING</t>
  </si>
  <si>
    <t>silog</t>
  </si>
  <si>
    <t>periodo smart working</t>
  </si>
  <si>
    <t>72/0005/0080 - RIMB. A PIE' DI LISTA DIPENDENTI</t>
  </si>
  <si>
    <t>AFFIDAMENTO PER COMUNICAZIONE</t>
  </si>
  <si>
    <t>CONTENITORE SPESE VARIE</t>
  </si>
  <si>
    <t>totale altri servizi non a canone fisso</t>
  </si>
  <si>
    <t>68/0005/0701 - ENERGIA ELETT. - IMM.FONTEBRANDA</t>
  </si>
  <si>
    <t>SPESE PER UTENZE</t>
  </si>
  <si>
    <t>non previsti costi per il 2022</t>
  </si>
  <si>
    <t>68/0005/0705 - VIGILANZA UFF.TRIBUTI FONTEBRANDA</t>
  </si>
  <si>
    <t>68/0005/0720 - SPESE SERVIZI CALCOLO IMU TRIBUTI</t>
  </si>
  <si>
    <t>68/0005/0750 - CONTR.ASSIT.CLIMATIZZ.UFF TRIBUTI</t>
  </si>
  <si>
    <t>68/0005/0767- CONTR.ASSIT.ANTINCENDIO.TRIBUTI</t>
  </si>
  <si>
    <t>68/0005/0783 - CONTR.CANONE SLOT OPER.TELEMACO</t>
  </si>
  <si>
    <t>68/0005/0794 - CONTR. ASSIT. ANNUALE MUNICIPIA</t>
  </si>
  <si>
    <t>68/0005/0796 - CONTR.ASSIST.ANNUALE CONNECTIS</t>
  </si>
  <si>
    <t xml:space="preserve">68/0005/0799 - CANONE TRIENNALE GIUFFRE' CLIENS PIU' </t>
  </si>
  <si>
    <t>nessun costo rspp</t>
  </si>
  <si>
    <t>68/0005/0733 - SPESE SERVIZI PULIZIA TRIBUTI FONTEBRANDA</t>
  </si>
  <si>
    <t>68/0005/0792 - ABB. INFOCERT FIRMA DIG.MULTIPLA</t>
  </si>
  <si>
    <t>CONTRATTI DI ASSISTENZA E SERVIZI A CANONE</t>
  </si>
  <si>
    <t>68/0005/0706- SPESE NOTIFICA ACCERTAMENTI</t>
  </si>
  <si>
    <t>68/0005/0707 - COMMISS.BANC.SDE TARI-TRIBUTI</t>
  </si>
  <si>
    <t>68/0005/0708 - SPESE PER SERVIZI VARI TRIBUTI</t>
  </si>
  <si>
    <t xml:space="preserve">68/05/708 - SPESA PER FERMI AMMINISTRATIVI </t>
  </si>
  <si>
    <t>68/0005/0711 - SERVIZIO SPEDIZIONE SNEM</t>
  </si>
  <si>
    <t>68/0005/0751 - SERVI.POSTALIZZ.TARI HUB-TRIBUTI</t>
  </si>
  <si>
    <t>68/0005/0752 - SERVIZI A SUPPORTO LDP</t>
  </si>
  <si>
    <t>68/0005/0753 - SERVIZI A SUPPORTO CENTRO STUDI</t>
  </si>
  <si>
    <t>68/0005/0780 - SUPPORTI ESTERNI E START-UP TRIBUTI</t>
  </si>
  <si>
    <t>68/0005/0789- SERVIZIO COSTO COPIA TRIBUTI</t>
  </si>
  <si>
    <r>
      <t xml:space="preserve">68/0005/0791 - SERVIZIO NOTIFICA ATTI GIUDIZIARI TRIBUTI </t>
    </r>
    <r>
      <rPr>
        <b/>
        <sz val="10"/>
        <rFont val="Microsoft JhengHei"/>
        <family val="2"/>
      </rPr>
      <t>(POSTE ITALIANE)</t>
    </r>
  </si>
  <si>
    <r>
      <t xml:space="preserve">68/0005/0791 - POSTE ITALIANE - </t>
    </r>
    <r>
      <rPr>
        <sz val="10"/>
        <rFont val="Microsoft JhengHei"/>
        <family val="2"/>
      </rPr>
      <t xml:space="preserve">l'affidamento dato è </t>
    </r>
    <r>
      <rPr>
        <b/>
        <sz val="10"/>
        <rFont val="Microsoft JhengHei"/>
        <family val="2"/>
      </rPr>
      <t>per euro 71,250</t>
    </r>
    <r>
      <rPr>
        <sz val="10"/>
        <rFont val="Microsoft JhengHei"/>
        <family val="2"/>
      </rPr>
      <t xml:space="preserve">. al 31/7/2021 il costo del servizio è stato di euro 3,393 (vedi punto 139)- </t>
    </r>
    <r>
      <rPr>
        <b/>
        <sz val="10"/>
        <rFont val="Microsoft JhengHei"/>
        <family val="2"/>
      </rPr>
      <t>AFFIDATO</t>
    </r>
  </si>
  <si>
    <r>
      <t xml:space="preserve">POSTE ITALIANE - </t>
    </r>
    <r>
      <rPr>
        <b/>
        <sz val="10"/>
        <rFont val="Microsoft JhengHei"/>
        <family val="2"/>
      </rPr>
      <t>DA AFFIDARE</t>
    </r>
    <r>
      <rPr>
        <sz val="10"/>
        <rFont val="Microsoft JhengHei"/>
        <family val="2"/>
      </rPr>
      <t xml:space="preserve"> - legato all'invio delle 20,000 ingiunzioni vedi punto 141</t>
    </r>
  </si>
  <si>
    <t>68/0005/0793 - SERVIZIO SPEDIZIONE NEXIVE</t>
  </si>
  <si>
    <r>
      <t xml:space="preserve">68/0005/0793 - </t>
    </r>
    <r>
      <rPr>
        <b/>
        <sz val="10"/>
        <rFont val="Microsoft JhengHei"/>
        <family val="2"/>
      </rPr>
      <t xml:space="preserve">NEXIVE </t>
    </r>
    <r>
      <rPr>
        <sz val="10"/>
        <rFont val="Microsoft JhengHei"/>
        <family val="2"/>
      </rPr>
      <t>- SERVIZIO SPEDIZIONE -</t>
    </r>
    <r>
      <rPr>
        <b/>
        <u/>
        <sz val="10"/>
        <rFont val="Microsoft JhengHei"/>
        <family val="2"/>
      </rPr>
      <t xml:space="preserve"> DA AFFIDARE</t>
    </r>
  </si>
  <si>
    <t>68/0005/0795- SERVIZI A SUPPORTO MUNICIPIA</t>
  </si>
  <si>
    <t>68/05/795 MUNICIPIA IMPLEMENTAZIONI INFORMATICHE EXTRA CONTRATTO</t>
  </si>
  <si>
    <r>
      <t xml:space="preserve">68/08/795 - </t>
    </r>
    <r>
      <rPr>
        <b/>
        <sz val="10"/>
        <rFont val="Microsoft JhengHei"/>
        <family val="2"/>
      </rPr>
      <t>MUNICIPIA</t>
    </r>
    <r>
      <rPr>
        <sz val="10"/>
        <rFont val="Microsoft JhengHei"/>
        <family val="2"/>
      </rPr>
      <t xml:space="preserve"> EMISSIONE 20,000 INGIUNZIONI ANNO 2021</t>
    </r>
  </si>
  <si>
    <t>diminuito il 2022 di euro 49,320 inserito tra i costi 2021 a fatture da ricevere mobility</t>
  </si>
  <si>
    <t>68/05/795 - MUNICIPIA EMISSIONE 20000 INGIUNZIONI ANNO 2022</t>
  </si>
  <si>
    <t>68/05/795 - MUNICIPIA RESIDUO ORDINE 3/2020 - RISCOSSIONE COATTIVA</t>
  </si>
  <si>
    <r>
      <rPr>
        <b/>
        <sz val="10"/>
        <rFont val="Microsoft JhengHei"/>
        <family val="2"/>
      </rPr>
      <t>MUNICIPIA</t>
    </r>
    <r>
      <rPr>
        <sz val="10"/>
        <rFont val="Microsoft JhengHei"/>
        <family val="2"/>
      </rPr>
      <t xml:space="preserve"> - supporto accertamento tari anni 2016,2017,2018 - </t>
    </r>
    <r>
      <rPr>
        <b/>
        <u/>
        <sz val="10"/>
        <rFont val="Microsoft JhengHei"/>
        <family val="2"/>
      </rPr>
      <t>DA AFFIDARE</t>
    </r>
  </si>
  <si>
    <r>
      <rPr>
        <b/>
        <sz val="10"/>
        <rFont val="Microsoft JhengHei"/>
        <family val="2"/>
      </rPr>
      <t>MUNICIPIA</t>
    </r>
    <r>
      <rPr>
        <sz val="10"/>
        <rFont val="Microsoft JhengHei"/>
        <family val="2"/>
      </rPr>
      <t xml:space="preserve"> - emissione di circa 20,000 ingiunzioni da inviare poi a Poste Italiane per la postalizzazione. C'è il blocco dell'invio delle ingiunzioni fino al 31/8 - </t>
    </r>
    <r>
      <rPr>
        <b/>
        <u/>
        <sz val="10"/>
        <rFont val="Microsoft JhengHei"/>
        <family val="2"/>
      </rPr>
      <t>DA AFFIDARE</t>
    </r>
  </si>
  <si>
    <t>68/0005/0797- SERVIZI A SUPPORTO CONNECTIS</t>
  </si>
  <si>
    <r>
      <rPr>
        <b/>
        <sz val="10"/>
        <rFont val="Microsoft JhengHei"/>
        <family val="2"/>
      </rPr>
      <t>CONNECTIS</t>
    </r>
    <r>
      <rPr>
        <sz val="10"/>
        <rFont val="Microsoft JhengHei"/>
        <family val="2"/>
      </rPr>
      <t xml:space="preserve"> - manutenzione evolutiva gestionle unico per il turismo Unicom - </t>
    </r>
    <r>
      <rPr>
        <b/>
        <sz val="10"/>
        <rFont val="Microsoft JhengHei"/>
        <family val="2"/>
      </rPr>
      <t>AFFIDATO</t>
    </r>
  </si>
  <si>
    <t>68/0005/0798 - SERVIZI A SUPPORTO RISKO</t>
  </si>
  <si>
    <r>
      <rPr>
        <b/>
        <sz val="10"/>
        <rFont val="Microsoft JhengHei"/>
        <family val="2"/>
      </rPr>
      <t>RISKO -</t>
    </r>
    <r>
      <rPr>
        <sz val="10"/>
        <rFont val="Microsoft JhengHei"/>
        <family val="2"/>
      </rPr>
      <t xml:space="preserve">attività di supporto al Rup per attività di riscossione e gestione entrate - </t>
    </r>
    <r>
      <rPr>
        <b/>
        <sz val="10"/>
        <rFont val="Microsoft JhengHei"/>
        <family val="2"/>
      </rPr>
      <t>AFFIDATO</t>
    </r>
  </si>
  <si>
    <r>
      <rPr>
        <b/>
        <sz val="10"/>
        <rFont val="Microsoft JhengHei"/>
        <family val="2"/>
      </rPr>
      <t xml:space="preserve">LDP </t>
    </r>
    <r>
      <rPr>
        <sz val="10"/>
        <rFont val="Microsoft JhengHei"/>
        <family val="2"/>
      </rPr>
      <t xml:space="preserve">- Implementazione software e formazione per importazione della tari e generazione e popolamento software delle aree fabbricabili - </t>
    </r>
    <r>
      <rPr>
        <b/>
        <sz val="10"/>
        <rFont val="Microsoft JhengHei"/>
        <family val="2"/>
      </rPr>
      <t>AFFIDATO</t>
    </r>
  </si>
  <si>
    <t>68/0005/709 N. TIM - UPGRADE PER INVVI MASSIVI DA PEC TRIBUTI - CONTRATTO TRIENNALE TOTALE 5,400</t>
  </si>
  <si>
    <t>contratto di assistenza OVERTURE - PRIMA RISPOSTA DA UN CALL CENTER- piano fabiani</t>
  </si>
  <si>
    <t>PESE PER SERVIZI A SUPPORTO STATUP, SPEDIZIONI ATTI GIUDIZIARI, NOTIFICHE, INGIUNZIONI E LAVORAZIONE IMPOSTE COMUNALI</t>
  </si>
  <si>
    <t>MANUTENZIONI E RIPARAZIONI VARIE</t>
  </si>
  <si>
    <t>68/0005/0737 - COMPENSO PRESID.CDA TRIBUTI</t>
  </si>
  <si>
    <t>68/0005/0722 - SPESE PER CONSULENZE TRIBUTI</t>
  </si>
  <si>
    <t>68/0005/0724 - BUONI PASTO TRIBUTI</t>
  </si>
  <si>
    <t>68/0005/0738 - COMPENSO CONS.AMMINSTR.TRIBUTI</t>
  </si>
  <si>
    <t>68/0005/0739 - COMPENSO COLL.SINDACALE TRIBUTI</t>
  </si>
  <si>
    <t>68/0008/0749 - COMPENSO REVISORE CONTI TRIBUTI</t>
  </si>
  <si>
    <t>68/0005/0754 - ELABORAZ.DATI E BUSTE PAGA TRIBUTI</t>
  </si>
  <si>
    <t>68/0005/0755 - COMPENSO MEDICO COMPET.TRIBUTI</t>
  </si>
  <si>
    <t>68/0005/0756 - COMP.RESP.PROT.DATI PRIVACY TRIBUTI</t>
  </si>
  <si>
    <t>68/0005/0757 - CONSUL.FISC.E TELEMATICO TRIBUTI</t>
  </si>
  <si>
    <t>68/0005/0758 - COMP.ORGANIS.VIGILANZA TRIBUTI</t>
  </si>
  <si>
    <t>68/0005/0759 - COMP.REV.QUALITA' INTERNAL AUDIT TRIBUTI</t>
  </si>
  <si>
    <t>68/0005/0760 - CONTR.PROGR. CONTABILITA' TRIBUTI</t>
  </si>
  <si>
    <t>68/0005/0761- CONTR.VIDEOSORV.ALLARME CENTRAL.TRIBUTI</t>
  </si>
  <si>
    <t>68/0005/0762 - CONTR.ASS.PROGR.MAGGIOLI TRIBUTI</t>
  </si>
  <si>
    <t>68/0005/0763 - CONTR.ASS.SERV.ACCESSO ACI TRIBUTI</t>
  </si>
  <si>
    <t>68/0005/0764 - ASSIC.CUMUL.INFORTU.DIP E DIRIG. TRIBUTI</t>
  </si>
  <si>
    <t>68/0005/0765 - ASSIC.RESP. CIV.CDA COLL.SIND. TRIBUTI</t>
  </si>
  <si>
    <t>68/0005/0768 - ASSIC.RCT-RCO (RESP.CIV.TERZI) TRIBUTI</t>
  </si>
  <si>
    <t>68/0005/0769 - ASSIC.TUTELA LEGALE PENALE TRIBUTI</t>
  </si>
  <si>
    <t>68/0005/0770 - ASSIC.TUTELA LEGALE IMPRESE TRIBUTI</t>
  </si>
  <si>
    <t>68/0005/0771- ASSIC.RCA AUTO, (PARZ.DEDUC) TRIBUTI</t>
  </si>
  <si>
    <t>68/0005/0772-CONTR.ASSIST.SITO WEB E HOSTING TRIBUTI</t>
  </si>
  <si>
    <t>68/0005/0774-CONTR.ASSIST.RETE LAN TRIBUTI</t>
  </si>
  <si>
    <t>68/0005/0775- VISITE MED.OBBLIG.DIPEND.TRIBUTI</t>
  </si>
  <si>
    <t>68/0005/0776- CANONE SERV.SUITE LOG PRIVACY TRIBUTI</t>
  </si>
  <si>
    <t xml:space="preserve">ALTRE SPESE PER SERVIZI </t>
  </si>
  <si>
    <t>per servizi - SMS</t>
  </si>
  <si>
    <t>ITINERA (APPALTO DURATA FEBBRAIO-MARZO 2022)</t>
  </si>
  <si>
    <t>COOPLAT (APPALTO DURATA FEBBRAIO-MARZO 2022)</t>
  </si>
  <si>
    <t>BIGLIETTAZIONE</t>
  </si>
  <si>
    <t>PULIZIE</t>
  </si>
  <si>
    <t>MINUCCI (FORNITURA RETE DATI</t>
  </si>
  <si>
    <t>ASSICURAZIONE APPENDICE RCT/RCO NUOVE ATTIVITA' DAL 04/01/2022 AL 30/04/2022</t>
  </si>
  <si>
    <t>AFFITTO NUOVI LOCALI FONTEBRANDA (DA MARZO A DICEMBRE 2022- DA FARE CONTRATTO STIMA 1.000 EURO AL MESE PER 10 MESI</t>
  </si>
  <si>
    <t>stima AFFITTO CONTAINER FAGIOLONE (nuovo contratto)</t>
  </si>
  <si>
    <t>70/05/506 - Nol.Licenze Microsoft 365 Business (nuovo contratto)</t>
  </si>
  <si>
    <t>70/05/507 - Nol.Licenze Raimbow (telefonate da pc) nuovo contratto</t>
  </si>
  <si>
    <t>70/05/508 - Nol.Licenza Primus per computi metrici (Fr.Rosi) nuovo contratto</t>
  </si>
  <si>
    <t>sistema cloud Maggioli - piano Fabiani</t>
  </si>
  <si>
    <t>70/05/0706 - NOLEG- BACKUP MAIL TRIBUTI - SILOG</t>
  </si>
  <si>
    <t>70/0005/707 - AFFITTO POSTI AUTO FONTEBRANDA</t>
  </si>
  <si>
    <t>70/05/708 - Nol.Licenze Microsoft 365 Business (nuovo contratto)- tributi</t>
  </si>
  <si>
    <t>70/05/709 - Nol.Licenze Raimbow (telefonate da pc) nuovo contratto - tributi</t>
  </si>
  <si>
    <t>per godimento beni di terzi - SMS</t>
  </si>
  <si>
    <t>SILOG (NOLEGGIO PC) totale 10000 idurata 2 anni</t>
  </si>
  <si>
    <t>centro ufficio (noleggio stampanti) stimato totale 1892 in 4 anni</t>
  </si>
  <si>
    <t>salari e stipendi gestione sosta</t>
  </si>
  <si>
    <t>72/0005/0010 - SALARI E STIPENDI</t>
  </si>
  <si>
    <t>72/05/0510 - PREMIO DIPENDENTI</t>
  </si>
  <si>
    <t>72/05/0511 - PREMIO DIRIGENTE</t>
  </si>
  <si>
    <t>salari e stipendi tributi</t>
  </si>
  <si>
    <t>72/0005/0701 - SALARI E STIPENDI ATTIVITA' TRIBUTI</t>
  </si>
  <si>
    <t>72/0005/0702 - PREMIO DIRIGENTE GESTIONE TRIBUTI</t>
  </si>
  <si>
    <t>72/0005/0710 - PREMIO DIPENDENTI TRIBUTI</t>
  </si>
  <si>
    <t>salari e stipendi SMS</t>
  </si>
  <si>
    <t>oneri sociali</t>
  </si>
  <si>
    <t>oneri sociali gestione sosta</t>
  </si>
  <si>
    <t>72/0015/0005 - ONERI SOCIALI INPS</t>
  </si>
  <si>
    <t>72/0015/0025 - ONERI SOCIALI INAIL</t>
  </si>
  <si>
    <t>72/0015/0593 - ALTRI ONERI SOCIALI DIP.TEMPO INDET.</t>
  </si>
  <si>
    <t>72/0015/0594 - CONTR. PREVID.INTEGR. DIRIG.TEMPO IND.</t>
  </si>
  <si>
    <t>72/25/710 - CONTRIB.PREVID.INTEGR.AZ.DIP.TEMPO INDETERMINAT</t>
  </si>
  <si>
    <t>oneri sociali tributi</t>
  </si>
  <si>
    <t>72/0015/0705 - ONERI SOCIALI INPS ATT. TRIBUTI</t>
  </si>
  <si>
    <t>72/0015/0725 - ONERI SOCIALI INAIL ATT. TRIBUTI</t>
  </si>
  <si>
    <t>72/0015/0793 - ALTRI ONERI SOCI.DIP. TEMPO INDET.TRIBUTI</t>
  </si>
  <si>
    <t>72/0015/0794 - CONTRIB.PREVID.INTEGR.DIRIG. TRIBUTI</t>
  </si>
  <si>
    <t>72/25/710 - CONTRIB.PREV.INTEG.AZ.DIP.TEMPO IND.TRIBUTI</t>
  </si>
  <si>
    <t>oneri sociali SMS</t>
  </si>
  <si>
    <t>trattamento di fine rapporto</t>
  </si>
  <si>
    <t>trattamento di fine rapporto gestione sosta</t>
  </si>
  <si>
    <t>72/0020/0005 - TFR</t>
  </si>
  <si>
    <t>trattamento di fine rapporto tributi</t>
  </si>
  <si>
    <t>72/0020/0701 - TFR ATTIVITA' TRIBUTI</t>
  </si>
  <si>
    <t>trattamento di fine rapporto SMS</t>
  </si>
  <si>
    <t>trattamento di quiescenza e simili</t>
  </si>
  <si>
    <t>trattamento di quiescenza e simili gestione sosta</t>
  </si>
  <si>
    <t>72/0025/0005 - ACC.TO F.DO TRATT. QUIESC.PREV.INT.</t>
  </si>
  <si>
    <t>72/0025/0010 - TRATT. PREV.INTEGR.TEMPO IND.</t>
  </si>
  <si>
    <t>trattamento di quiescenza e simili tributi</t>
  </si>
  <si>
    <t>72/0025/0705 - ACC.TO F.DO TRAT. QUIESC. PREV.INT.TRIBUTI</t>
  </si>
  <si>
    <t>72/0025/0710 - TRATT.PREV.INTEGR.TEMPO IND.TRIBUTI</t>
  </si>
  <si>
    <t>trattamento di quiescenza e simili SMS</t>
  </si>
  <si>
    <t>Totale per il personale- SMS</t>
  </si>
  <si>
    <t>ammort.immobilizz.immateriali SMS</t>
  </si>
  <si>
    <t>75/0030/0506 - AMM.TO ES.AMM.TO IMP.UFF.TRIBUTI 2021</t>
  </si>
  <si>
    <t>ammort.immobilizz.materiali GESTIONE TRIBUTI</t>
  </si>
  <si>
    <t>ammort.immobilizz.materiali SMS</t>
  </si>
  <si>
    <t>ALTRI ACCANTONAMENTI</t>
  </si>
  <si>
    <t>ALTRI ACCANTONAMENTI MOBILITY</t>
  </si>
  <si>
    <t>83/05/0502 - ACC. PREMIO DIPENDENTI MOBILITY</t>
  </si>
  <si>
    <t>INSERITO 70,000 PREMIO DIPENDENTI SOLO SU Mobility</t>
  </si>
  <si>
    <t>83/05/503 - ACC.PREMIO DIRIGENTE  MOBILITY</t>
  </si>
  <si>
    <t>ALTRI ACCANTONAMENTI TRIBUTI</t>
  </si>
  <si>
    <t>83/05/702 - ACC. PREMIO DIPENDENTI TRIBUTI</t>
  </si>
  <si>
    <t>83/05/703 - ACC.PREMIO DIRIGENTE TRIBUTI</t>
  </si>
  <si>
    <t>84/0005/0013 - TASI</t>
  </si>
  <si>
    <t xml:space="preserve">L'IMU NEL 2022 SARA' PAGATO PER ENTRAMBI LE RATE </t>
  </si>
  <si>
    <t>IL SOLE 24 ORE/rcs mediagroup/maggioli/tabaccheri</t>
  </si>
  <si>
    <t>maggioli libri singoli/sole abbonamento</t>
  </si>
  <si>
    <t>84/0010/0040 - MINUSVALENZE ORDINARIE IMP.</t>
  </si>
  <si>
    <t>KIWA CERMET/lifebrain</t>
  </si>
  <si>
    <t>84/0010/0510 - OMAGGI E OBLAZIONI</t>
  </si>
  <si>
    <t>84/0010/0512 - ALTRI COSTI INDEDUCIBILI</t>
  </si>
  <si>
    <t>84/0005/0721 - TASSA ISCRIZ. ALBO AVVOCATI DIRETT. TRIBUTI</t>
  </si>
  <si>
    <t>84/0010/0702 - QUOTA ASSOC.ANCI TOSCANA POSTALIZZAZIONI</t>
  </si>
  <si>
    <t>84/0010/0715 - ABBONAM.RIVISTE GIORNALI TRIBUTI</t>
  </si>
  <si>
    <t>oneri diversi di gestione - SMS</t>
  </si>
  <si>
    <t>f24 - diritto camerale apertura unità locale sms</t>
  </si>
  <si>
    <t>riduzione degli interessi attivi perché non c'è più il conto deposito svincolato a maggio 2021</t>
  </si>
  <si>
    <t>88/0020/0503 - INT.PASS.STRUM.DERIVATI</t>
  </si>
  <si>
    <t>88/0020/0504- INT. PASS. MUTUI CRAS GENNAIO 2021</t>
  </si>
  <si>
    <t>96/0010/0502 - IMPOSTE ANTICIPATE STORNO PFM</t>
  </si>
  <si>
    <t>96/0010/503 IMPOSTE ANTICIPATE (ACCANTONA. MANUT.CICLICA)</t>
  </si>
  <si>
    <t>96/0010/504 IMPOSTE ANTICIPATE (IRES 2020)</t>
  </si>
  <si>
    <t>96/0010/0505 - IMPOSTE ANTICIPATE ADEGUAM. IL CAMPO</t>
  </si>
  <si>
    <t>96/0010/0506 - IMPOSTE ANTICIPATE (COMP.PRES. CDA 19-20)</t>
  </si>
  <si>
    <t>96/0010/0507 - IMPOSTE ANTICIPATE PREMI DIP.+DIRG.</t>
  </si>
  <si>
    <t>affitti immobili e servizi di noleggio piattaforme informatiche</t>
  </si>
  <si>
    <t>PIANO TRIENNALE 2022-2024 LAVORI/COSTI</t>
  </si>
  <si>
    <t>Resoconto incontro 01/03/2022</t>
  </si>
  <si>
    <t>TOT Importo 
2022-2023-2024</t>
  </si>
  <si>
    <t xml:space="preserve">TIPOLOGIA </t>
  </si>
  <si>
    <t>Rifacimento BAGNI FAGIOLONE</t>
  </si>
  <si>
    <t>INVESTIMENTO</t>
  </si>
  <si>
    <t>Licenza SW MANKEY per censimento asset aziendali e controllo interventi di manutenzione (accesso via web e con APP)</t>
  </si>
  <si>
    <t>SITO WEB</t>
  </si>
  <si>
    <t>Uffici Fontebranda</t>
  </si>
  <si>
    <t>Sistema CLOUD Maggioli</t>
  </si>
  <si>
    <t>COSTO</t>
  </si>
  <si>
    <t>Manutenzioni Edili</t>
  </si>
  <si>
    <t>COSTO/INVESTIMENTI</t>
  </si>
  <si>
    <t>SISTEMA ZTL BUS TURISTICI</t>
  </si>
  <si>
    <t>Taglio Verde</t>
  </si>
  <si>
    <t>Sistema Lettura Targhe DESIGNA</t>
  </si>
  <si>
    <t>Sistema CLUSTER per server DESIGNA</t>
  </si>
  <si>
    <t>Sostituzione ascensore parcheggio S.Caterina</t>
  </si>
  <si>
    <t>Sensori di fumo in scale mobili San Francesco e Fontebranda</t>
  </si>
  <si>
    <t>sensori magnetici rottura catena scale mobili</t>
  </si>
  <si>
    <t>Manutenzione straordinaria scale mobili e ascensori</t>
  </si>
  <si>
    <t>Rinfonzo e risamento predalles Fast Park usurate</t>
  </si>
  <si>
    <t>Riscaldamento automatico rampe Fast Park</t>
  </si>
  <si>
    <t>Messa in sicurezza di rampe e scale pedonali del parcheggio Eliporto, con trattamento con resina, quarzo e smalto epossidico (antiscivolo)</t>
  </si>
  <si>
    <t>Segnaletica orizzontale aree a RASO</t>
  </si>
  <si>
    <t>Segnaletica orizzontale Parcheggi in struttura</t>
  </si>
  <si>
    <t>Segnaletica nuovo logo + numerazione posti auto parcheggi grossa capacità</t>
  </si>
  <si>
    <t>Segnaletica verticale</t>
  </si>
  <si>
    <t>Extra contratto Elettrico-Idraulico</t>
  </si>
  <si>
    <t>Extra contratto Antincendio</t>
  </si>
  <si>
    <t>OVERTURE</t>
  </si>
  <si>
    <t xml:space="preserve">NUOVO CONSIP TIM telefonia mobile </t>
  </si>
  <si>
    <t>MUNICIPIA</t>
  </si>
  <si>
    <t>da inserire telefonia terrecablate</t>
  </si>
  <si>
    <t>affitto nuovo ufficio in Via Fontebranda per trasferimento Punto Unico</t>
  </si>
  <si>
    <t>affitto container per spostamento temporaneo ufficio del Fagiolone durante i lavori per rifacimento bagni</t>
  </si>
  <si>
    <t>servizio di noleggio licenze Microsoft, Raimbow e primus per computi metrici</t>
  </si>
  <si>
    <t>servizio in cloud Maggioli</t>
  </si>
  <si>
    <t>LAVORI</t>
  </si>
  <si>
    <t>Spese per servizi contratti di assistenza impianti climatizzazione, elettrici antincendio, ups allarme</t>
  </si>
  <si>
    <t>Spese per servizi calcolo imu, assistenza programmi calcolo tributi, visure, fermi amministrativi, progrmmi di contabilità, appalti, sito web e hosting e rete lan, e privacy</t>
  </si>
  <si>
    <t>contratto di assistenza PRIMA RISPOSTA  CALL CENTER</t>
  </si>
  <si>
    <t>spese per servizi bancari (commissioni addebiti sdd per tari)</t>
  </si>
  <si>
    <t>Spese per servizi di notifica accertamenti, atti giudiziari, postali</t>
  </si>
  <si>
    <t>spese per servizi spese legali e consulenze</t>
  </si>
  <si>
    <t>compenso revisore dei conti</t>
  </si>
  <si>
    <t>servizi assicurativi</t>
  </si>
  <si>
    <t>affitto Ufficio di Fontebranda, posti auto Fontebranda e spese condominiali - TR</t>
  </si>
  <si>
    <t>servizio di noleggio backup mail, licenze Microsoft e licenze Raimbow</t>
  </si>
  <si>
    <t>DELLA SI.GE.RI.CO. S.P.A. - AREA TRIBUTI</t>
  </si>
  <si>
    <t xml:space="preserve">DELLA SI.GE.RI.CO. SPA - AREA GESTIONE MUSEO SANTA MARIA DELLA SCALA </t>
  </si>
  <si>
    <t>acquisti per materiali di consumo</t>
  </si>
  <si>
    <t>Spese per servizi strumentali del Museo Santa Maria della Scala - sorveglianza, biglietteria, pulizie, portineria, biblioteca, didattica</t>
  </si>
  <si>
    <t>servizi di BIGLIETTAZIONE</t>
  </si>
  <si>
    <t>servizi di bigliettazione</t>
  </si>
  <si>
    <t>servizi di pulizia</t>
  </si>
  <si>
    <t>servizio di manutenzione rete internet</t>
  </si>
  <si>
    <t>acquisti materie di consumo</t>
  </si>
  <si>
    <t>Importo annualità 2024</t>
  </si>
  <si>
    <t xml:space="preserve"> MANUTENZ. SEGNALETICA STRADALE AREE A RASO</t>
  </si>
  <si>
    <t xml:space="preserve"> MANUTENZ. SEGNALETICA STRADALE PARCHEGGI STRUTTURA</t>
  </si>
  <si>
    <t>MANUTENZIONI EXTRA PARCHEGGI DESIGNA, DITECH, SAFETY</t>
  </si>
  <si>
    <t>ALLEGATO I - SCHEDA E: PROGRAMMA TRIENNALE DELLE OPERE PUBBLICHE 2022-2024</t>
  </si>
  <si>
    <t>DELLA SI.GE.RI.CO. SPA</t>
  </si>
  <si>
    <t>Area mobility</t>
  </si>
  <si>
    <t>4550000-2</t>
  </si>
  <si>
    <t>007920905242022000049</t>
  </si>
  <si>
    <t>007920905242022000050</t>
  </si>
  <si>
    <t>AREA TRIBUTI</t>
  </si>
  <si>
    <t>007920905242022000051</t>
  </si>
  <si>
    <t>007920905242022000052</t>
  </si>
  <si>
    <t>007920905242022000053</t>
  </si>
  <si>
    <t>007920905242022000054</t>
  </si>
  <si>
    <t>007920905242022000055</t>
  </si>
  <si>
    <t>007920905242022000056</t>
  </si>
  <si>
    <t>007920905242022000057</t>
  </si>
  <si>
    <t>007920905242022000058</t>
  </si>
  <si>
    <t>007920905242022000059</t>
  </si>
  <si>
    <t>007920905242022000060</t>
  </si>
  <si>
    <t>007920905242022000061</t>
  </si>
  <si>
    <t>66000000-0</t>
  </si>
  <si>
    <t>007920905242022000062</t>
  </si>
  <si>
    <t>007920905242022000063</t>
  </si>
  <si>
    <t>007920905242022000064</t>
  </si>
  <si>
    <t>007920905242022000065</t>
  </si>
  <si>
    <t>007920905242022000066</t>
  </si>
  <si>
    <t>007920905242022000067</t>
  </si>
  <si>
    <t>007920905242022000068</t>
  </si>
  <si>
    <t>007920905242022000069</t>
  </si>
  <si>
    <t>007920905242022000070</t>
  </si>
  <si>
    <t>007920905242022000071</t>
  </si>
  <si>
    <t>007920905242022000072</t>
  </si>
  <si>
    <t>007920905242022000073</t>
  </si>
  <si>
    <t>007920905242022000074</t>
  </si>
  <si>
    <t>007920905242022000075</t>
  </si>
  <si>
    <t xml:space="preserve">79111000-5 </t>
  </si>
  <si>
    <t xml:space="preserve">30199770-8 </t>
  </si>
  <si>
    <t>79631000.6</t>
  </si>
  <si>
    <t>79411000-8</t>
  </si>
  <si>
    <t xml:space="preserve">79221000-9 </t>
  </si>
  <si>
    <t>66510000-8</t>
  </si>
  <si>
    <t>85100000-0</t>
  </si>
  <si>
    <t>007920905242022000076</t>
  </si>
  <si>
    <t>007920905242022000077</t>
  </si>
  <si>
    <t>007920905242022000078</t>
  </si>
  <si>
    <t>007920905242022000079</t>
  </si>
  <si>
    <t>007920905242022000080</t>
  </si>
  <si>
    <t>SANTA MARIA DELLA SCALA</t>
  </si>
  <si>
    <t>007920905242022000081</t>
  </si>
  <si>
    <t>007920905242022000082</t>
  </si>
  <si>
    <t>007920905242022000084</t>
  </si>
  <si>
    <t>SI</t>
  </si>
  <si>
    <t>Responsabile del programma</t>
  </si>
  <si>
    <t>Ing.Annaclaudia Bonifazi</t>
  </si>
  <si>
    <t xml:space="preserve">Durata del contratto ( si considera la spesa nell'annualità) </t>
  </si>
  <si>
    <t>007920905242022000083</t>
  </si>
  <si>
    <t>007920905242022000085</t>
  </si>
  <si>
    <t>007920905242022000087</t>
  </si>
  <si>
    <t>007920905242022000089</t>
  </si>
  <si>
    <t>007920905242022000090</t>
  </si>
  <si>
    <t>007920905242022000091</t>
  </si>
  <si>
    <t>007920905242022000092</t>
  </si>
  <si>
    <t>007920905242022000093</t>
  </si>
  <si>
    <t>007920905242022000094</t>
  </si>
  <si>
    <t>007920905242022000095</t>
  </si>
  <si>
    <t>007920905242022000096</t>
  </si>
  <si>
    <t>007920905242022000097</t>
  </si>
  <si>
    <t>007920905242022000098</t>
  </si>
  <si>
    <t>007920905242022000099</t>
  </si>
  <si>
    <t>0079209052420220000100</t>
  </si>
  <si>
    <t>0079209052420220000101</t>
  </si>
  <si>
    <t>0079209052420220000102</t>
  </si>
  <si>
    <t>0079209052420220000103</t>
  </si>
  <si>
    <t>0079209052420220000104</t>
  </si>
  <si>
    <t>0079209052420220000105</t>
  </si>
  <si>
    <t>0079209052420220000106</t>
  </si>
  <si>
    <t>0079209052420220000107</t>
  </si>
  <si>
    <t>0079209052420220000108</t>
  </si>
  <si>
    <t>0079209052420220000109</t>
  </si>
  <si>
    <t>0079209052420220000110</t>
  </si>
  <si>
    <t>0079209052420220000111</t>
  </si>
  <si>
    <t>0079209052420220000112</t>
  </si>
  <si>
    <t>0079209052420220000113</t>
  </si>
  <si>
    <t>0079209052420220000114</t>
  </si>
  <si>
    <t>0079209052420220000115</t>
  </si>
  <si>
    <t>SI . GE. RI. CO. S.p.a.</t>
  </si>
  <si>
    <t>SI. GE.RI.CO. S.p.a.</t>
  </si>
  <si>
    <t>CONSIP</t>
  </si>
  <si>
    <t>DONATI</t>
  </si>
  <si>
    <t>FABIANI</t>
  </si>
  <si>
    <t>DG</t>
  </si>
  <si>
    <t>BAGNACCI</t>
  </si>
  <si>
    <t>FOLIGNO</t>
  </si>
  <si>
    <t xml:space="preserve">(1) I responsabili del procedimento sono i Dirigenti e Quadri di struttura. Il Direttore Generale può individuare comunque un nuovo Responsabile del Procedimento </t>
  </si>
  <si>
    <t xml:space="preserve">(13) I responsabili del procedimento sono i Dirigenti e Quadri di struttura. Il Direttore Generale può individuare nuovo Responsabile del Procedimento </t>
  </si>
  <si>
    <t>ALLEGATO II - SCHEDA B : PROGRAMMA BIENNALE DEGLI ACQUISTI DI FORNITURE E SERVIZI 2022-2023 APPROVATO DALL'ASSEMBLEA DEL 23 GIUGNO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</si>
</sst>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0.00"/>
    <numFmt numFmtId="165" formatCode="#,##0_ ;[Red]\-#,##0\ "/>
    <numFmt numFmtId="166" formatCode="###,###,###,##0.00"/>
    <numFmt numFmtId="167" formatCode="#,##0.00_ ;[Red]\-#,##0.00\ "/>
    <numFmt numFmtId="168" formatCode="#,##0\ &quot;€&quot;"/>
    <numFmt numFmtId="169" formatCode="&quot;€&quot;\ #,##0.00"/>
  </numFmts>
  <fonts count="103"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Tahoma"/>
      <family val="2"/>
    </font>
    <font>
      <b/>
      <sz val="14"/>
      <color rgb="FF000000"/>
      <name val="Microsoft JhengHei"/>
      <family val="2"/>
    </font>
    <font>
      <sz val="10"/>
      <color rgb="FF000000"/>
      <name val="Microsoft JhengHei"/>
      <family val="2"/>
    </font>
    <font>
      <b/>
      <sz val="11"/>
      <color rgb="FFFFFFFF"/>
      <name val="Tahoma"/>
      <family val="2"/>
    </font>
    <font>
      <b/>
      <sz val="14"/>
      <color rgb="FFFFFFFF"/>
      <name val="Microsoft JhengHei"/>
      <family val="2"/>
    </font>
    <font>
      <b/>
      <sz val="10"/>
      <color rgb="FF000000"/>
      <name val="Microsoft JhengHei"/>
      <family val="2"/>
    </font>
    <font>
      <b/>
      <sz val="10"/>
      <color rgb="FF000000"/>
      <name val="Tahoma"/>
      <family val="2"/>
    </font>
    <font>
      <b/>
      <sz val="11"/>
      <color rgb="FF000000"/>
      <name val="Tahoma"/>
      <family val="2"/>
    </font>
    <font>
      <b/>
      <sz val="12"/>
      <color rgb="FF000000"/>
      <name val="Microsoft JhengHei"/>
      <family val="2"/>
    </font>
    <font>
      <sz val="11"/>
      <color rgb="FF000000"/>
      <name val="Microsoft JhengHei"/>
      <family val="2"/>
    </font>
    <font>
      <sz val="10"/>
      <color rgb="FF000000"/>
      <name val="Tahoma"/>
      <family val="2"/>
    </font>
    <font>
      <b/>
      <sz val="12"/>
      <color rgb="FF000000"/>
      <name val="Tahoma"/>
      <family val="2"/>
    </font>
    <font>
      <b/>
      <sz val="16"/>
      <color rgb="FF000000"/>
      <name val="Microsoft JhengHei"/>
      <family val="2"/>
    </font>
    <font>
      <sz val="12"/>
      <color rgb="FF000000"/>
      <name val="Microsoft JhengHei"/>
      <family val="2"/>
    </font>
    <font>
      <b/>
      <sz val="10"/>
      <name val="Microsoft JhengHei"/>
      <family val="2"/>
    </font>
    <font>
      <sz val="10"/>
      <name val="Tahoma"/>
      <family val="2"/>
    </font>
    <font>
      <b/>
      <sz val="10"/>
      <color rgb="FFFF0000"/>
      <name val="Microsoft JhengHei"/>
      <family val="2"/>
    </font>
    <font>
      <sz val="10"/>
      <color rgb="FFFF0000"/>
      <name val="Microsoft JhengHei"/>
      <family val="2"/>
    </font>
    <font>
      <sz val="10"/>
      <name val="Microsoft JhengHei"/>
      <family val="2"/>
    </font>
    <font>
      <b/>
      <sz val="10"/>
      <name val="Tahoma"/>
      <family val="2"/>
    </font>
    <font>
      <sz val="14"/>
      <color rgb="FF000000"/>
      <name val="Microsoft JhengHei"/>
      <family val="2"/>
    </font>
    <font>
      <sz val="10"/>
      <color rgb="FFFF0000"/>
      <name val="Tahoma"/>
      <family val="2"/>
    </font>
    <font>
      <b/>
      <sz val="8"/>
      <color indexed="81"/>
      <name val="Tahoma"/>
      <family val="2"/>
    </font>
    <font>
      <sz val="8"/>
      <color indexed="81"/>
      <name val="Tahoma"/>
      <family val="2"/>
    </font>
    <font>
      <b/>
      <sz val="9"/>
      <color indexed="81"/>
      <name val="Tahoma"/>
      <family val="2"/>
    </font>
    <font>
      <b/>
      <sz val="14"/>
      <name val="Times New Roman"/>
      <family val="1"/>
    </font>
    <font>
      <sz val="10"/>
      <name val="Arial"/>
      <family val="2"/>
    </font>
    <font>
      <b/>
      <sz val="14"/>
      <name val="Arial"/>
      <family val="2"/>
    </font>
    <font>
      <b/>
      <sz val="10"/>
      <name val="Arial"/>
      <family val="2"/>
    </font>
    <font>
      <b/>
      <strike/>
      <sz val="10"/>
      <name val="Arial"/>
      <family val="2"/>
    </font>
    <font>
      <b/>
      <sz val="10"/>
      <color indexed="8"/>
      <name val="Arial"/>
      <family val="2"/>
    </font>
    <font>
      <sz val="8"/>
      <name val="Arial"/>
      <family val="2"/>
    </font>
    <font>
      <sz val="10"/>
      <color indexed="8"/>
      <name val="Arial"/>
      <family val="2"/>
    </font>
    <font>
      <sz val="10"/>
      <name val="Verdana"/>
      <family val="2"/>
    </font>
    <font>
      <sz val="9"/>
      <name val="Verdana"/>
      <family val="2"/>
    </font>
    <font>
      <sz val="10"/>
      <color indexed="8"/>
      <name val="Verdana"/>
      <family val="2"/>
    </font>
    <font>
      <sz val="9"/>
      <name val="Arial"/>
      <family val="2"/>
    </font>
    <font>
      <sz val="8"/>
      <name val="Verdana"/>
      <family val="2"/>
    </font>
    <font>
      <b/>
      <sz val="10"/>
      <name val="Verdana"/>
      <family val="2"/>
    </font>
    <font>
      <b/>
      <i/>
      <sz val="10"/>
      <color indexed="8"/>
      <name val="Arial"/>
      <family val="2"/>
    </font>
    <font>
      <i/>
      <sz val="10"/>
      <color indexed="8"/>
      <name val="Arial"/>
      <family val="2"/>
    </font>
    <font>
      <sz val="8"/>
      <color indexed="8"/>
      <name val="Arial"/>
      <family val="2"/>
    </font>
    <font>
      <sz val="6.5"/>
      <color indexed="8"/>
      <name val="Arial"/>
      <family val="2"/>
    </font>
    <font>
      <sz val="12"/>
      <name val="Times New Roman"/>
      <family val="1"/>
    </font>
    <font>
      <sz val="10"/>
      <color rgb="FFFF0000"/>
      <name val="Verdana"/>
      <family val="2"/>
    </font>
    <font>
      <sz val="10"/>
      <color rgb="FFFF0000"/>
      <name val="Arial"/>
      <family val="2"/>
    </font>
    <font>
      <sz val="9"/>
      <color rgb="FFFF0000"/>
      <name val="Verdana"/>
      <family val="2"/>
    </font>
    <font>
      <b/>
      <sz val="10"/>
      <color rgb="FFFF0000"/>
      <name val="Verdana"/>
      <family val="2"/>
    </font>
    <font>
      <b/>
      <sz val="10"/>
      <color rgb="FFFF0000"/>
      <name val="Arial"/>
      <family val="2"/>
    </font>
    <font>
      <sz val="10"/>
      <color theme="4"/>
      <name val="Verdana"/>
      <family val="2"/>
    </font>
    <font>
      <sz val="10"/>
      <color theme="4"/>
      <name val="Arial"/>
      <family val="2"/>
    </font>
    <font>
      <sz val="9"/>
      <color theme="4"/>
      <name val="Verdana"/>
      <family val="2"/>
    </font>
    <font>
      <b/>
      <sz val="14"/>
      <color indexed="8"/>
      <name val="Times New Roman"/>
      <family val="1"/>
    </font>
    <font>
      <b/>
      <sz val="12"/>
      <color indexed="8"/>
      <name val="Times New Roman"/>
      <family val="1"/>
    </font>
    <font>
      <b/>
      <sz val="14"/>
      <color indexed="8"/>
      <name val="Arial"/>
      <family val="2"/>
    </font>
    <font>
      <b/>
      <sz val="10"/>
      <color indexed="8"/>
      <name val="Calibri"/>
      <family val="2"/>
      <scheme val="minor"/>
    </font>
    <font>
      <b/>
      <sz val="9"/>
      <color indexed="8"/>
      <name val="Arial"/>
      <family val="2"/>
    </font>
    <font>
      <b/>
      <sz val="8"/>
      <color indexed="8"/>
      <name val="Calibri"/>
      <family val="2"/>
      <scheme val="minor"/>
    </font>
    <font>
      <sz val="10"/>
      <color indexed="8"/>
      <name val="Calibri"/>
      <family val="2"/>
      <scheme val="minor"/>
    </font>
    <font>
      <sz val="9"/>
      <color indexed="8"/>
      <name val="Arial"/>
      <family val="2"/>
    </font>
    <font>
      <sz val="8"/>
      <color indexed="8"/>
      <name val="Calibri"/>
      <family val="2"/>
      <scheme val="minor"/>
    </font>
    <font>
      <sz val="10"/>
      <name val="Calibri"/>
      <family val="2"/>
      <scheme val="minor"/>
    </font>
    <font>
      <sz val="9"/>
      <color indexed="8"/>
      <name val="Verdana"/>
      <family val="2"/>
    </font>
    <font>
      <sz val="9"/>
      <color indexed="8"/>
      <name val="Calibri"/>
      <family val="2"/>
      <scheme val="minor"/>
    </font>
    <font>
      <b/>
      <sz val="14"/>
      <color theme="1"/>
      <name val="Microsoft JhengHei"/>
      <family val="2"/>
    </font>
    <font>
      <b/>
      <sz val="11"/>
      <color rgb="FFFF00FF"/>
      <name val="Tahoma"/>
      <family val="2"/>
    </font>
    <font>
      <b/>
      <sz val="14"/>
      <name val="Microsoft JhengHei"/>
      <family val="2"/>
    </font>
    <font>
      <sz val="10"/>
      <color rgb="FFFF00FF"/>
      <name val="Tahoma"/>
      <family val="2"/>
    </font>
    <font>
      <b/>
      <sz val="12"/>
      <name val="Microsoft JhengHei"/>
      <family val="2"/>
    </font>
    <font>
      <b/>
      <sz val="10"/>
      <color rgb="FFFF00FF"/>
      <name val="Tahoma"/>
      <family val="2"/>
    </font>
    <font>
      <b/>
      <sz val="12"/>
      <color rgb="FFFF00FF"/>
      <name val="Tahoma"/>
      <family val="2"/>
    </font>
    <font>
      <b/>
      <sz val="11"/>
      <name val="Tahoma"/>
      <family val="2"/>
    </font>
    <font>
      <sz val="12"/>
      <name val="Microsoft JhengHei"/>
      <family val="2"/>
    </font>
    <font>
      <sz val="11"/>
      <name val="Microsoft JhengHei"/>
      <family val="2"/>
    </font>
    <font>
      <sz val="12"/>
      <color rgb="FFFF0000"/>
      <name val="Microsoft JhengHei"/>
      <family val="2"/>
    </font>
    <font>
      <b/>
      <sz val="10"/>
      <color rgb="FF0070C0"/>
      <name val="Microsoft JhengHei"/>
      <family val="2"/>
    </font>
    <font>
      <b/>
      <sz val="10"/>
      <color rgb="FF0070C0"/>
      <name val="Tahoma"/>
      <family val="2"/>
    </font>
    <font>
      <b/>
      <sz val="14"/>
      <color rgb="FFFF0000"/>
      <name val="Microsoft JhengHei"/>
      <family val="2"/>
    </font>
    <font>
      <b/>
      <sz val="12"/>
      <color theme="1"/>
      <name val="Microsoft JhengHei"/>
      <family val="2"/>
    </font>
    <font>
      <sz val="11"/>
      <color rgb="FFFF0000"/>
      <name val="Microsoft JhengHei"/>
      <family val="2"/>
    </font>
    <font>
      <b/>
      <sz val="11"/>
      <color rgb="FF000000"/>
      <name val="Microsoft JhengHei"/>
      <family val="2"/>
    </font>
    <font>
      <b/>
      <sz val="11"/>
      <name val="Microsoft JhengHei"/>
      <family val="2"/>
    </font>
    <font>
      <b/>
      <u/>
      <sz val="10"/>
      <name val="Microsoft JhengHei"/>
      <family val="2"/>
    </font>
    <font>
      <b/>
      <sz val="12"/>
      <color rgb="FF0070C0"/>
      <name val="Microsoft JhengHei"/>
      <family val="2"/>
    </font>
    <font>
      <sz val="9"/>
      <color indexed="81"/>
      <name val="Tahoma"/>
      <family val="2"/>
    </font>
    <font>
      <sz val="10"/>
      <color theme="1"/>
      <name val="Calibri"/>
      <family val="2"/>
      <scheme val="minor"/>
    </font>
    <font>
      <b/>
      <sz val="10"/>
      <color theme="1"/>
      <name val="Microsoft JhengHei"/>
      <family val="2"/>
    </font>
    <font>
      <b/>
      <sz val="10"/>
      <color theme="1"/>
      <name val="Calibri"/>
      <family val="2"/>
      <scheme val="minor"/>
    </font>
    <font>
      <sz val="12"/>
      <color theme="1"/>
      <name val="Calibri"/>
      <family val="2"/>
      <scheme val="minor"/>
    </font>
    <font>
      <sz val="9"/>
      <color indexed="81"/>
      <name val="Tahoma"/>
      <charset val="1"/>
    </font>
    <font>
      <b/>
      <sz val="9"/>
      <color indexed="81"/>
      <name val="Tahoma"/>
      <charset val="1"/>
    </font>
    <font>
      <sz val="10"/>
      <color rgb="FF0070C0"/>
      <name val="Microsoft JhengHei"/>
      <family val="2"/>
    </font>
    <font>
      <sz val="11"/>
      <color rgb="FFFF0000"/>
      <name val="Calibri"/>
      <family val="2"/>
      <scheme val="minor"/>
    </font>
    <font>
      <sz val="10"/>
      <color rgb="FFFF0000"/>
      <name val="Calibri"/>
      <family val="2"/>
      <scheme val="minor"/>
    </font>
    <font>
      <b/>
      <sz val="12"/>
      <name val="Arial"/>
      <family val="2"/>
    </font>
    <font>
      <sz val="8"/>
      <name val="Calibri"/>
      <family val="2"/>
      <scheme val="minor"/>
    </font>
    <font>
      <sz val="11"/>
      <color theme="1"/>
      <name val="Verdana"/>
      <family val="2"/>
    </font>
    <font>
      <sz val="10"/>
      <color rgb="FF00B0F0"/>
      <name val="Verdana"/>
      <family val="2"/>
    </font>
    <font>
      <sz val="10"/>
      <color rgb="FF00B0F0"/>
      <name val="Arial"/>
      <family val="2"/>
    </font>
    <font>
      <sz val="8"/>
      <color rgb="FF00B0F0"/>
      <name val="Verdana"/>
      <family val="2"/>
    </font>
  </fonts>
  <fills count="23">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indexed="55"/>
        <bgColor indexed="64"/>
      </patternFill>
    </fill>
    <fill>
      <patternFill patternType="solid">
        <fgColor rgb="FFCCFFCC"/>
        <bgColor indexed="64"/>
      </patternFill>
    </fill>
    <fill>
      <patternFill patternType="solid">
        <fgColor rgb="FFFFFFFF"/>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00FF"/>
        <bgColor indexed="64"/>
      </patternFill>
    </fill>
    <fill>
      <patternFill patternType="solid">
        <fgColor rgb="FFFF99FF"/>
        <bgColor indexed="64"/>
      </patternFill>
    </fill>
    <fill>
      <patternFill patternType="solid">
        <fgColor theme="5"/>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769">
    <xf numFmtId="0" fontId="0" fillId="0" borderId="0" xfId="0"/>
    <xf numFmtId="0" fontId="0" fillId="0" borderId="1" xfId="0" applyBorder="1"/>
    <xf numFmtId="0" fontId="5" fillId="0" borderId="0" xfId="0" applyFont="1"/>
    <xf numFmtId="164" fontId="7" fillId="3" borderId="1"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164" fontId="5" fillId="0" borderId="1" xfId="0" applyNumberFormat="1" applyFont="1" applyBorder="1" applyAlignment="1">
      <alignment wrapText="1"/>
    </xf>
    <xf numFmtId="165" fontId="8" fillId="4" borderId="1" xfId="0" applyNumberFormat="1" applyFont="1" applyFill="1" applyBorder="1"/>
    <xf numFmtId="165" fontId="8" fillId="0" borderId="2" xfId="0" applyNumberFormat="1" applyFont="1" applyBorder="1"/>
    <xf numFmtId="164" fontId="8" fillId="0" borderId="1" xfId="0" applyNumberFormat="1" applyFont="1" applyBorder="1" applyAlignment="1">
      <alignment wrapText="1"/>
    </xf>
    <xf numFmtId="0" fontId="9" fillId="0" borderId="0" xfId="0" applyFont="1"/>
    <xf numFmtId="164" fontId="5" fillId="5" borderId="1" xfId="0" applyNumberFormat="1" applyFont="1" applyFill="1" applyBorder="1" applyAlignment="1">
      <alignment wrapText="1"/>
    </xf>
    <xf numFmtId="165" fontId="8" fillId="5" borderId="2" xfId="0" applyNumberFormat="1" applyFont="1" applyFill="1" applyBorder="1"/>
    <xf numFmtId="165" fontId="11" fillId="4" borderId="1" xfId="0" applyNumberFormat="1" applyFont="1" applyFill="1" applyBorder="1"/>
    <xf numFmtId="164" fontId="8" fillId="4" borderId="1" xfId="0" applyNumberFormat="1" applyFont="1" applyFill="1" applyBorder="1" applyAlignment="1">
      <alignment wrapText="1"/>
    </xf>
    <xf numFmtId="165" fontId="8" fillId="4" borderId="2" xfId="0" applyNumberFormat="1" applyFont="1" applyFill="1" applyBorder="1"/>
    <xf numFmtId="164" fontId="8" fillId="6" borderId="1" xfId="0" applyNumberFormat="1" applyFont="1" applyFill="1" applyBorder="1" applyAlignment="1">
      <alignment wrapText="1"/>
    </xf>
    <xf numFmtId="164" fontId="4" fillId="6" borderId="1" xfId="0" applyNumberFormat="1" applyFont="1" applyFill="1" applyBorder="1" applyAlignment="1">
      <alignment wrapText="1"/>
    </xf>
    <xf numFmtId="165" fontId="4" fillId="4" borderId="1" xfId="0" applyNumberFormat="1" applyFont="1" applyFill="1" applyBorder="1"/>
    <xf numFmtId="165" fontId="4" fillId="6" borderId="2" xfId="0" applyNumberFormat="1" applyFont="1" applyFill="1" applyBorder="1"/>
    <xf numFmtId="0" fontId="13" fillId="0" borderId="0" xfId="0" applyFont="1"/>
    <xf numFmtId="164" fontId="5" fillId="0" borderId="1" xfId="0" applyNumberFormat="1" applyFont="1" applyFill="1" applyBorder="1" applyAlignment="1">
      <alignment wrapText="1"/>
    </xf>
    <xf numFmtId="165" fontId="5" fillId="0" borderId="2" xfId="0" applyNumberFormat="1" applyFont="1" applyBorder="1"/>
    <xf numFmtId="164" fontId="15" fillId="0" borderId="1" xfId="0" applyNumberFormat="1" applyFont="1" applyBorder="1" applyAlignment="1">
      <alignment horizontal="center" wrapText="1"/>
    </xf>
    <xf numFmtId="165" fontId="8" fillId="0" borderId="1" xfId="0" applyNumberFormat="1" applyFont="1" applyFill="1" applyBorder="1"/>
    <xf numFmtId="164" fontId="4" fillId="4" borderId="1" xfId="0" applyNumberFormat="1" applyFont="1" applyFill="1" applyBorder="1" applyAlignment="1">
      <alignment wrapText="1"/>
    </xf>
    <xf numFmtId="164" fontId="11" fillId="7" borderId="1" xfId="0" applyNumberFormat="1" applyFont="1" applyFill="1" applyBorder="1" applyAlignment="1">
      <alignment wrapText="1"/>
    </xf>
    <xf numFmtId="165" fontId="11" fillId="7" borderId="1" xfId="0" applyNumberFormat="1" applyFont="1" applyFill="1" applyBorder="1"/>
    <xf numFmtId="164" fontId="17" fillId="0" borderId="1" xfId="0" applyNumberFormat="1" applyFont="1" applyBorder="1" applyAlignment="1">
      <alignment wrapText="1"/>
    </xf>
    <xf numFmtId="165" fontId="17" fillId="0" borderId="2" xfId="0" applyNumberFormat="1" applyFont="1" applyBorder="1"/>
    <xf numFmtId="164" fontId="17" fillId="0" borderId="1" xfId="0" applyNumberFormat="1" applyFont="1" applyFill="1" applyBorder="1" applyAlignment="1">
      <alignment wrapText="1"/>
    </xf>
    <xf numFmtId="164" fontId="11" fillId="5" borderId="1" xfId="0" applyNumberFormat="1" applyFont="1" applyFill="1" applyBorder="1" applyAlignment="1">
      <alignment wrapText="1"/>
    </xf>
    <xf numFmtId="165" fontId="11" fillId="5" borderId="1" xfId="0" applyNumberFormat="1" applyFont="1" applyFill="1" applyBorder="1"/>
    <xf numFmtId="165" fontId="5" fillId="0" borderId="2" xfId="0" applyNumberFormat="1" applyFont="1" applyFill="1" applyBorder="1"/>
    <xf numFmtId="164" fontId="11" fillId="4" borderId="1" xfId="0" applyNumberFormat="1" applyFont="1" applyFill="1" applyBorder="1" applyAlignment="1">
      <alignment wrapText="1"/>
    </xf>
    <xf numFmtId="165" fontId="20" fillId="0" borderId="2" xfId="0" applyNumberFormat="1" applyFont="1" applyFill="1" applyBorder="1"/>
    <xf numFmtId="0" fontId="18" fillId="0" borderId="0" xfId="0" applyFont="1"/>
    <xf numFmtId="164" fontId="21" fillId="0" borderId="1" xfId="0" applyNumberFormat="1" applyFont="1" applyBorder="1" applyAlignment="1">
      <alignment wrapText="1"/>
    </xf>
    <xf numFmtId="165" fontId="21" fillId="0" borderId="2" xfId="0" applyNumberFormat="1" applyFont="1" applyFill="1" applyBorder="1"/>
    <xf numFmtId="165" fontId="8" fillId="0" borderId="2" xfId="0" applyNumberFormat="1" applyFont="1" applyFill="1" applyBorder="1"/>
    <xf numFmtId="0" fontId="0" fillId="8" borderId="0" xfId="0" applyFill="1"/>
    <xf numFmtId="0" fontId="14" fillId="0" borderId="0" xfId="0" applyFont="1"/>
    <xf numFmtId="165" fontId="4" fillId="6" borderId="1" xfId="0" applyNumberFormat="1" applyFont="1" applyFill="1" applyBorder="1"/>
    <xf numFmtId="165" fontId="8" fillId="5" borderId="1" xfId="0" applyNumberFormat="1" applyFont="1" applyFill="1" applyBorder="1"/>
    <xf numFmtId="0" fontId="13" fillId="9" borderId="0" xfId="0" applyFont="1" applyFill="1"/>
    <xf numFmtId="164" fontId="5" fillId="0" borderId="1" xfId="0" applyNumberFormat="1" applyFont="1" applyFill="1" applyBorder="1" applyAlignment="1">
      <alignment horizontal="left" wrapText="1"/>
    </xf>
    <xf numFmtId="165" fontId="5" fillId="0" borderId="2" xfId="0" applyNumberFormat="1" applyFont="1" applyFill="1" applyBorder="1" applyAlignment="1">
      <alignment horizontal="right"/>
    </xf>
    <xf numFmtId="165" fontId="23" fillId="5" borderId="1" xfId="0" applyNumberFormat="1" applyFont="1" applyFill="1" applyBorder="1"/>
    <xf numFmtId="164" fontId="21" fillId="0" borderId="1" xfId="0" applyNumberFormat="1" applyFont="1" applyFill="1" applyBorder="1" applyAlignment="1">
      <alignment wrapText="1"/>
    </xf>
    <xf numFmtId="165" fontId="20" fillId="0" borderId="1" xfId="0" applyNumberFormat="1" applyFont="1" applyFill="1" applyBorder="1"/>
    <xf numFmtId="164" fontId="15" fillId="6" borderId="1" xfId="0" applyNumberFormat="1" applyFont="1" applyFill="1" applyBorder="1" applyAlignment="1">
      <alignment wrapText="1"/>
    </xf>
    <xf numFmtId="164" fontId="8" fillId="0" borderId="1" xfId="0" applyNumberFormat="1" applyFont="1" applyFill="1" applyBorder="1" applyAlignment="1">
      <alignment wrapText="1"/>
    </xf>
    <xf numFmtId="164" fontId="8" fillId="9" borderId="1" xfId="0" applyNumberFormat="1" applyFont="1" applyFill="1" applyBorder="1" applyAlignment="1">
      <alignment wrapText="1"/>
    </xf>
    <xf numFmtId="165" fontId="5" fillId="9" borderId="2" xfId="0" applyNumberFormat="1" applyFont="1" applyFill="1" applyBorder="1"/>
    <xf numFmtId="164" fontId="5" fillId="9" borderId="1" xfId="0" applyNumberFormat="1" applyFont="1" applyFill="1" applyBorder="1" applyAlignment="1">
      <alignment wrapText="1"/>
    </xf>
    <xf numFmtId="165" fontId="8" fillId="9" borderId="2" xfId="0" applyNumberFormat="1" applyFont="1" applyFill="1" applyBorder="1"/>
    <xf numFmtId="165" fontId="4" fillId="4" borderId="2" xfId="0" applyNumberFormat="1" applyFont="1" applyFill="1" applyBorder="1"/>
    <xf numFmtId="164" fontId="4" fillId="11" borderId="1" xfId="0" applyNumberFormat="1" applyFont="1" applyFill="1" applyBorder="1" applyAlignment="1">
      <alignment wrapText="1"/>
    </xf>
    <xf numFmtId="165" fontId="4" fillId="11" borderId="2" xfId="0" applyNumberFormat="1" applyFont="1" applyFill="1" applyBorder="1"/>
    <xf numFmtId="165" fontId="0" fillId="0" borderId="0" xfId="0" applyNumberFormat="1"/>
    <xf numFmtId="0" fontId="5" fillId="0" borderId="0" xfId="0" applyFont="1" applyAlignment="1">
      <alignment wrapText="1"/>
    </xf>
    <xf numFmtId="165" fontId="8" fillId="0" borderId="0" xfId="0" applyNumberFormat="1" applyFont="1"/>
    <xf numFmtId="0" fontId="0" fillId="0" borderId="0" xfId="0" applyAlignment="1">
      <alignment wrapText="1"/>
    </xf>
    <xf numFmtId="4" fontId="29" fillId="0" borderId="0" xfId="0" applyNumberFormat="1" applyFont="1" applyAlignment="1">
      <alignment wrapText="1"/>
    </xf>
    <xf numFmtId="4" fontId="30" fillId="0" borderId="0" xfId="0" applyNumberFormat="1" applyFont="1" applyBorder="1" applyAlignment="1">
      <alignment horizontal="center" vertical="center"/>
    </xf>
    <xf numFmtId="4" fontId="29" fillId="0" borderId="0" xfId="0" applyNumberFormat="1" applyFont="1" applyBorder="1" applyAlignment="1"/>
    <xf numFmtId="4" fontId="29" fillId="0" borderId="1" xfId="0" applyNumberFormat="1" applyFont="1" applyBorder="1" applyAlignment="1">
      <alignment horizontal="center" vertical="center"/>
    </xf>
    <xf numFmtId="49" fontId="36"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49" fontId="36" fillId="0" borderId="1" xfId="0" applyNumberFormat="1" applyFont="1" applyBorder="1" applyAlignment="1">
      <alignment horizontal="center" vertical="center"/>
    </xf>
    <xf numFmtId="0" fontId="37" fillId="0" borderId="1" xfId="0" applyFont="1" applyBorder="1" applyAlignment="1">
      <alignment vertical="center"/>
    </xf>
    <xf numFmtId="0" fontId="38" fillId="0" borderId="1" xfId="0" applyFont="1" applyBorder="1" applyAlignment="1">
      <alignment vertical="center"/>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49" fontId="39" fillId="0" borderId="0" xfId="0" applyNumberFormat="1" applyFont="1" applyAlignment="1">
      <alignment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4" fontId="31"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8" fillId="0" borderId="1" xfId="0" applyFont="1" applyBorder="1" applyAlignment="1">
      <alignment horizontal="center" vertical="center"/>
    </xf>
    <xf numFmtId="49" fontId="36" fillId="0" borderId="3" xfId="0" applyNumberFormat="1" applyFont="1" applyBorder="1" applyAlignment="1">
      <alignment horizontal="center" vertical="center" wrapText="1"/>
    </xf>
    <xf numFmtId="4" fontId="29" fillId="13" borderId="3" xfId="0" applyNumberFormat="1" applyFont="1" applyFill="1" applyBorder="1" applyAlignment="1">
      <alignment horizontal="center" wrapText="1"/>
    </xf>
    <xf numFmtId="0" fontId="36" fillId="0" borderId="0" xfId="0" applyFont="1" applyBorder="1" applyAlignment="1">
      <alignment horizontal="center" vertical="center"/>
    </xf>
    <xf numFmtId="4" fontId="29" fillId="0" borderId="0" xfId="0" applyNumberFormat="1" applyFont="1" applyAlignment="1">
      <alignment horizontal="left" wrapText="1"/>
    </xf>
    <xf numFmtId="4" fontId="35" fillId="0" borderId="1" xfId="0" applyNumberFormat="1" applyFont="1" applyBorder="1" applyAlignment="1">
      <alignment wrapText="1"/>
    </xf>
    <xf numFmtId="4" fontId="42" fillId="0" borderId="0" xfId="0" applyNumberFormat="1" applyFont="1" applyBorder="1" applyAlignment="1">
      <alignment wrapText="1"/>
    </xf>
    <xf numFmtId="4" fontId="29" fillId="0" borderId="9" xfId="0" applyNumberFormat="1" applyFont="1" applyBorder="1" applyAlignment="1">
      <alignment wrapText="1"/>
    </xf>
    <xf numFmtId="4" fontId="42" fillId="0" borderId="2" xfId="0" applyNumberFormat="1" applyFont="1" applyBorder="1" applyAlignment="1">
      <alignment horizontal="left" wrapText="1"/>
    </xf>
    <xf numFmtId="4" fontId="42" fillId="0" borderId="4" xfId="0" applyNumberFormat="1" applyFont="1" applyBorder="1" applyAlignment="1">
      <alignment horizontal="left" wrapText="1"/>
    </xf>
    <xf numFmtId="4" fontId="35" fillId="0" borderId="4" xfId="0" applyNumberFormat="1" applyFont="1" applyBorder="1" applyAlignment="1">
      <alignment wrapText="1"/>
    </xf>
    <xf numFmtId="4" fontId="43" fillId="0" borderId="1" xfId="0" applyNumberFormat="1" applyFont="1" applyBorder="1" applyAlignment="1">
      <alignment horizontal="center" wrapText="1"/>
    </xf>
    <xf numFmtId="4" fontId="44" fillId="0" borderId="1" xfId="0" applyNumberFormat="1" applyFont="1" applyBorder="1" applyAlignment="1">
      <alignment wrapText="1"/>
    </xf>
    <xf numFmtId="4" fontId="35" fillId="0" borderId="0" xfId="0" applyNumberFormat="1" applyFont="1" applyAlignment="1">
      <alignment wrapText="1"/>
    </xf>
    <xf numFmtId="4" fontId="45" fillId="0" borderId="1" xfId="0" applyNumberFormat="1" applyFont="1" applyBorder="1" applyAlignment="1">
      <alignment horizontal="center" wrapText="1"/>
    </xf>
    <xf numFmtId="4" fontId="35" fillId="0" borderId="0" xfId="0" quotePrefix="1" applyNumberFormat="1" applyFont="1" applyAlignment="1">
      <alignment horizontal="left" wrapText="1"/>
    </xf>
    <xf numFmtId="4" fontId="31" fillId="13" borderId="0" xfId="0" applyNumberFormat="1" applyFont="1" applyFill="1" applyAlignment="1">
      <alignment wrapText="1"/>
    </xf>
    <xf numFmtId="4" fontId="46" fillId="0" borderId="0" xfId="0" applyNumberFormat="1" applyFont="1" applyAlignment="1">
      <alignment horizontal="justify" vertical="center" wrapText="1"/>
    </xf>
    <xf numFmtId="4" fontId="33" fillId="13" borderId="0" xfId="0" applyNumberFormat="1" applyFont="1" applyFill="1" applyBorder="1" applyAlignment="1">
      <alignment horizontal="left" vertical="top" wrapText="1"/>
    </xf>
    <xf numFmtId="1" fontId="10" fillId="2" borderId="1" xfId="0" applyNumberFormat="1" applyFont="1" applyFill="1" applyBorder="1"/>
    <xf numFmtId="165" fontId="5" fillId="2" borderId="2" xfId="0" applyNumberFormat="1" applyFont="1" applyFill="1" applyBorder="1" applyAlignment="1">
      <alignment horizontal="right"/>
    </xf>
    <xf numFmtId="0" fontId="0" fillId="2" borderId="0" xfId="0" applyFill="1"/>
    <xf numFmtId="165" fontId="8" fillId="0" borderId="1" xfId="0" applyNumberFormat="1" applyFont="1" applyBorder="1"/>
    <xf numFmtId="165" fontId="5" fillId="0" borderId="1" xfId="0" applyNumberFormat="1" applyFont="1" applyBorder="1"/>
    <xf numFmtId="0" fontId="0" fillId="8" borderId="1" xfId="0" applyFill="1" applyBorder="1"/>
    <xf numFmtId="165" fontId="5" fillId="9" borderId="1" xfId="0" applyNumberFormat="1" applyFont="1" applyFill="1" applyBorder="1"/>
    <xf numFmtId="165" fontId="8" fillId="9" borderId="1" xfId="0" applyNumberFormat="1" applyFont="1" applyFill="1" applyBorder="1"/>
    <xf numFmtId="165" fontId="5" fillId="0" borderId="0" xfId="0" applyNumberFormat="1" applyFont="1" applyFill="1" applyBorder="1"/>
    <xf numFmtId="165" fontId="5" fillId="0" borderId="0" xfId="0" applyNumberFormat="1" applyFont="1" applyBorder="1"/>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4" fontId="48" fillId="0" borderId="1" xfId="0" applyNumberFormat="1" applyFont="1" applyBorder="1" applyAlignment="1">
      <alignment horizontal="center" vertical="center"/>
    </xf>
    <xf numFmtId="0" fontId="49" fillId="0" borderId="1" xfId="0" applyFont="1" applyBorder="1" applyAlignment="1">
      <alignment vertical="center"/>
    </xf>
    <xf numFmtId="0" fontId="47" fillId="0" borderId="1" xfId="0" applyFont="1" applyBorder="1" applyAlignment="1">
      <alignment vertical="center"/>
    </xf>
    <xf numFmtId="4" fontId="48" fillId="0" borderId="0" xfId="0" applyNumberFormat="1" applyFont="1" applyAlignment="1">
      <alignment wrapText="1"/>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4" fontId="51" fillId="0" borderId="1" xfId="0" applyNumberFormat="1"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pplyAlignment="1">
      <alignment horizontal="center" vertical="center" wrapText="1"/>
    </xf>
    <xf numFmtId="4" fontId="53" fillId="0" borderId="1" xfId="0" applyNumberFormat="1" applyFont="1" applyBorder="1" applyAlignment="1">
      <alignment horizontal="center" vertical="center"/>
    </xf>
    <xf numFmtId="49" fontId="52" fillId="0" borderId="1" xfId="0" applyNumberFormat="1" applyFont="1" applyBorder="1" applyAlignment="1">
      <alignment horizontal="center" vertical="center"/>
    </xf>
    <xf numFmtId="0" fontId="54" fillId="0" borderId="1" xfId="0" applyFont="1" applyBorder="1" applyAlignment="1">
      <alignment vertical="center"/>
    </xf>
    <xf numFmtId="0" fontId="52" fillId="0" borderId="1" xfId="0" applyFont="1" applyBorder="1" applyAlignment="1">
      <alignment vertical="center"/>
    </xf>
    <xf numFmtId="4" fontId="53" fillId="0" borderId="0" xfId="0" applyNumberFormat="1" applyFont="1" applyAlignment="1">
      <alignment wrapText="1"/>
    </xf>
    <xf numFmtId="0" fontId="0" fillId="9" borderId="0" xfId="0" applyFill="1"/>
    <xf numFmtId="4" fontId="29"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xf>
    <xf numFmtId="0" fontId="36" fillId="0" borderId="1" xfId="0" applyFont="1" applyBorder="1" applyAlignment="1">
      <alignment vertical="center"/>
    </xf>
    <xf numFmtId="4" fontId="57" fillId="0" borderId="0" xfId="0" applyNumberFormat="1" applyFont="1" applyBorder="1" applyAlignment="1">
      <alignment horizontal="center" vertical="center"/>
    </xf>
    <xf numFmtId="4" fontId="35" fillId="0" borderId="0" xfId="0" applyNumberFormat="1" applyFont="1" applyBorder="1" applyAlignment="1"/>
    <xf numFmtId="4" fontId="35" fillId="0" borderId="0" xfId="0" applyNumberFormat="1" applyFont="1" applyBorder="1" applyAlignment="1">
      <alignment wrapText="1"/>
    </xf>
    <xf numFmtId="49" fontId="64" fillId="0" borderId="1" xfId="0" applyNumberFormat="1" applyFont="1" applyBorder="1" applyAlignment="1">
      <alignment horizontal="center" vertical="center" wrapText="1"/>
    </xf>
    <xf numFmtId="0" fontId="61" fillId="0" borderId="1" xfId="0" applyFont="1" applyBorder="1" applyAlignment="1">
      <alignment horizontal="center" vertical="center"/>
    </xf>
    <xf numFmtId="0" fontId="65" fillId="0" borderId="1" xfId="0" applyFont="1" applyBorder="1" applyAlignment="1">
      <alignment horizontal="center" vertical="center"/>
    </xf>
    <xf numFmtId="0" fontId="38" fillId="0" borderId="1" xfId="0" applyFont="1" applyBorder="1" applyAlignment="1">
      <alignment horizontal="center" vertical="center" wrapText="1"/>
    </xf>
    <xf numFmtId="49" fontId="38" fillId="0" borderId="1" xfId="0" applyNumberFormat="1" applyFont="1" applyBorder="1" applyAlignment="1">
      <alignment horizontal="center" vertical="center"/>
    </xf>
    <xf numFmtId="49" fontId="61" fillId="0" borderId="1" xfId="0" applyNumberFormat="1" applyFont="1" applyBorder="1" applyAlignment="1">
      <alignment horizontal="center" vertical="center"/>
    </xf>
    <xf numFmtId="0" fontId="38" fillId="0" borderId="0" xfId="0" applyFont="1" applyBorder="1" applyAlignment="1">
      <alignment horizontal="center" vertical="center"/>
    </xf>
    <xf numFmtId="4" fontId="29" fillId="0" borderId="1" xfId="0" applyNumberFormat="1" applyFont="1" applyBorder="1" applyAlignment="1">
      <alignment horizontal="center" vertical="center"/>
    </xf>
    <xf numFmtId="0" fontId="36" fillId="0" borderId="1" xfId="0" applyNumberFormat="1" applyFont="1" applyBorder="1" applyAlignment="1">
      <alignment horizontal="center" vertical="center" wrapText="1"/>
    </xf>
    <xf numFmtId="0" fontId="0" fillId="0" borderId="0" xfId="0" applyAlignment="1">
      <alignment horizontal="center"/>
    </xf>
    <xf numFmtId="4" fontId="29" fillId="0" borderId="1" xfId="0" applyNumberFormat="1" applyFont="1" applyBorder="1" applyAlignment="1">
      <alignment horizontal="center" vertical="center"/>
    </xf>
    <xf numFmtId="0" fontId="1" fillId="0" borderId="1" xfId="0" applyFont="1" applyBorder="1" applyAlignment="1">
      <alignment wrapText="1"/>
    </xf>
    <xf numFmtId="4" fontId="29" fillId="0" borderId="0" xfId="0" applyNumberFormat="1" applyFont="1" applyAlignment="1">
      <alignment horizontal="left" wrapText="1"/>
    </xf>
    <xf numFmtId="4" fontId="42" fillId="0" borderId="2" xfId="0" applyNumberFormat="1" applyFont="1" applyBorder="1" applyAlignment="1">
      <alignment horizontal="left" wrapText="1"/>
    </xf>
    <xf numFmtId="4" fontId="42" fillId="0" borderId="4" xfId="0" applyNumberFormat="1" applyFont="1" applyBorder="1" applyAlignment="1">
      <alignment horizontal="left" wrapText="1"/>
    </xf>
    <xf numFmtId="4" fontId="29"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xf>
    <xf numFmtId="4" fontId="29" fillId="0" borderId="0" xfId="0" applyNumberFormat="1" applyFont="1" applyBorder="1" applyAlignment="1"/>
    <xf numFmtId="4" fontId="30" fillId="0" borderId="0" xfId="0" applyNumberFormat="1" applyFont="1" applyBorder="1" applyAlignment="1">
      <alignment horizontal="center" vertical="center"/>
    </xf>
    <xf numFmtId="4" fontId="35" fillId="0" borderId="1" xfId="0" applyNumberFormat="1" applyFont="1" applyBorder="1" applyAlignment="1">
      <alignment wrapText="1"/>
    </xf>
    <xf numFmtId="4" fontId="35" fillId="0" borderId="0" xfId="0" quotePrefix="1" applyNumberFormat="1" applyFont="1" applyAlignment="1">
      <alignment horizontal="left" wrapText="1"/>
    </xf>
    <xf numFmtId="1" fontId="6" fillId="9" borderId="1" xfId="0" applyNumberFormat="1" applyFont="1" applyFill="1" applyBorder="1" applyAlignment="1">
      <alignment horizontal="center" vertical="center"/>
    </xf>
    <xf numFmtId="167" fontId="67" fillId="10" borderId="2" xfId="0" applyNumberFormat="1" applyFont="1" applyFill="1" applyBorder="1" applyAlignment="1">
      <alignment horizontal="center" vertical="center" wrapText="1"/>
    </xf>
    <xf numFmtId="165" fontId="67" fillId="14" borderId="2" xfId="0" applyNumberFormat="1" applyFont="1" applyFill="1" applyBorder="1" applyAlignment="1">
      <alignment horizontal="center" vertical="center" wrapText="1"/>
    </xf>
    <xf numFmtId="165" fontId="67" fillId="9" borderId="2" xfId="0" applyNumberFormat="1" applyFont="1" applyFill="1" applyBorder="1" applyAlignment="1">
      <alignment horizontal="center" vertical="center" wrapText="1"/>
    </xf>
    <xf numFmtId="0" fontId="13" fillId="0" borderId="1" xfId="0" applyFont="1" applyBorder="1" applyAlignment="1">
      <alignment wrapText="1"/>
    </xf>
    <xf numFmtId="14" fontId="7" fillId="3" borderId="0" xfId="0" applyNumberFormat="1" applyFont="1" applyFill="1" applyBorder="1" applyAlignment="1">
      <alignment horizontal="center" vertical="center" wrapText="1"/>
    </xf>
    <xf numFmtId="0" fontId="13" fillId="0" borderId="0" xfId="0" applyFont="1" applyFill="1" applyBorder="1" applyAlignment="1">
      <alignment wrapText="1"/>
    </xf>
    <xf numFmtId="168" fontId="13" fillId="0" borderId="0" xfId="0" applyNumberFormat="1" applyFont="1" applyFill="1" applyBorder="1" applyAlignment="1">
      <alignment wrapText="1"/>
    </xf>
    <xf numFmtId="1" fontId="3" fillId="9" borderId="1" xfId="0" applyNumberFormat="1" applyFont="1" applyFill="1" applyBorder="1"/>
    <xf numFmtId="167" fontId="8" fillId="0" borderId="2" xfId="0" applyNumberFormat="1" applyFont="1" applyBorder="1"/>
    <xf numFmtId="165" fontId="8" fillId="0" borderId="0" xfId="0" applyNumberFormat="1" applyFont="1" applyBorder="1"/>
    <xf numFmtId="168" fontId="0" fillId="0" borderId="0" xfId="0" applyNumberFormat="1"/>
    <xf numFmtId="1" fontId="68" fillId="9" borderId="1" xfId="0" applyNumberFormat="1" applyFont="1" applyFill="1" applyBorder="1"/>
    <xf numFmtId="164" fontId="69" fillId="4" borderId="1" xfId="0" applyNumberFormat="1" applyFont="1" applyFill="1" applyBorder="1" applyAlignment="1">
      <alignment wrapText="1"/>
    </xf>
    <xf numFmtId="165" fontId="69" fillId="4" borderId="1" xfId="0" applyNumberFormat="1" applyFont="1" applyFill="1" applyBorder="1"/>
    <xf numFmtId="167" fontId="69" fillId="4" borderId="1" xfId="0" applyNumberFormat="1" applyFont="1" applyFill="1" applyBorder="1"/>
    <xf numFmtId="44" fontId="70" fillId="0" borderId="0" xfId="1" applyFont="1"/>
    <xf numFmtId="0" fontId="70" fillId="0" borderId="0" xfId="0" applyFont="1"/>
    <xf numFmtId="165" fontId="69" fillId="4" borderId="0" xfId="0" applyNumberFormat="1" applyFont="1" applyFill="1" applyBorder="1"/>
    <xf numFmtId="168" fontId="70" fillId="0" borderId="0" xfId="0" applyNumberFormat="1" applyFont="1"/>
    <xf numFmtId="164" fontId="71" fillId="7" borderId="1" xfId="0" applyNumberFormat="1" applyFont="1" applyFill="1" applyBorder="1" applyAlignment="1">
      <alignment wrapText="1"/>
    </xf>
    <xf numFmtId="165" fontId="71" fillId="7" borderId="1" xfId="0" applyNumberFormat="1" applyFont="1" applyFill="1" applyBorder="1"/>
    <xf numFmtId="167" fontId="71" fillId="7" borderId="1" xfId="0" applyNumberFormat="1" applyFont="1" applyFill="1" applyBorder="1"/>
    <xf numFmtId="0" fontId="72" fillId="2" borderId="0" xfId="0" applyFont="1" applyFill="1"/>
    <xf numFmtId="165" fontId="71" fillId="7" borderId="0" xfId="0" applyNumberFormat="1" applyFont="1" applyFill="1" applyBorder="1"/>
    <xf numFmtId="168" fontId="72" fillId="2" borderId="0" xfId="0" applyNumberFormat="1" applyFont="1" applyFill="1"/>
    <xf numFmtId="0" fontId="70" fillId="2" borderId="0" xfId="0" applyFont="1" applyFill="1"/>
    <xf numFmtId="165" fontId="21" fillId="0" borderId="2" xfId="0" applyNumberFormat="1" applyFont="1" applyBorder="1"/>
    <xf numFmtId="167" fontId="21" fillId="0" borderId="2" xfId="0" applyNumberFormat="1" applyFont="1" applyBorder="1"/>
    <xf numFmtId="165" fontId="21" fillId="0" borderId="0" xfId="0" applyNumberFormat="1" applyFont="1" applyBorder="1"/>
    <xf numFmtId="1" fontId="73" fillId="9" borderId="1" xfId="0" applyNumberFormat="1" applyFont="1" applyFill="1" applyBorder="1"/>
    <xf numFmtId="164" fontId="71" fillId="15" borderId="1" xfId="0" applyNumberFormat="1" applyFont="1" applyFill="1" applyBorder="1" applyAlignment="1">
      <alignment wrapText="1"/>
    </xf>
    <xf numFmtId="165" fontId="71" fillId="15" borderId="1" xfId="0" applyNumberFormat="1" applyFont="1" applyFill="1" applyBorder="1"/>
    <xf numFmtId="167" fontId="71" fillId="15" borderId="1" xfId="0" applyNumberFormat="1" applyFont="1" applyFill="1" applyBorder="1"/>
    <xf numFmtId="165" fontId="71" fillId="15" borderId="0" xfId="0" applyNumberFormat="1" applyFont="1" applyFill="1" applyBorder="1"/>
    <xf numFmtId="167" fontId="17" fillId="0" borderId="2" xfId="0" applyNumberFormat="1" applyFont="1" applyBorder="1"/>
    <xf numFmtId="165" fontId="17" fillId="0" borderId="0" xfId="0" applyNumberFormat="1" applyFont="1" applyBorder="1"/>
    <xf numFmtId="167" fontId="71" fillId="15" borderId="0" xfId="0" applyNumberFormat="1" applyFont="1" applyFill="1" applyBorder="1"/>
    <xf numFmtId="164" fontId="71" fillId="5" borderId="1" xfId="0" applyNumberFormat="1" applyFont="1" applyFill="1" applyBorder="1" applyAlignment="1">
      <alignment wrapText="1"/>
    </xf>
    <xf numFmtId="165" fontId="71" fillId="5" borderId="1" xfId="0" applyNumberFormat="1" applyFont="1" applyFill="1" applyBorder="1"/>
    <xf numFmtId="167" fontId="71" fillId="5" borderId="1" xfId="0" applyNumberFormat="1" applyFont="1" applyFill="1" applyBorder="1"/>
    <xf numFmtId="165" fontId="71" fillId="5" borderId="0" xfId="0" applyNumberFormat="1" applyFont="1" applyFill="1" applyBorder="1"/>
    <xf numFmtId="168" fontId="70" fillId="2" borderId="0" xfId="0" applyNumberFormat="1" applyFont="1" applyFill="1"/>
    <xf numFmtId="164" fontId="21" fillId="9" borderId="1" xfId="0" applyNumberFormat="1" applyFont="1" applyFill="1" applyBorder="1" applyAlignment="1">
      <alignment wrapText="1"/>
    </xf>
    <xf numFmtId="165" fontId="21" fillId="9" borderId="2" xfId="0" applyNumberFormat="1" applyFont="1" applyFill="1" applyBorder="1"/>
    <xf numFmtId="167" fontId="21" fillId="9" borderId="2" xfId="0" applyNumberFormat="1" applyFont="1" applyFill="1" applyBorder="1"/>
    <xf numFmtId="165" fontId="21" fillId="9" borderId="0" xfId="0" applyNumberFormat="1" applyFont="1" applyFill="1" applyBorder="1"/>
    <xf numFmtId="164" fontId="71" fillId="16" borderId="1" xfId="0" applyNumberFormat="1" applyFont="1" applyFill="1" applyBorder="1" applyAlignment="1">
      <alignment wrapText="1"/>
    </xf>
    <xf numFmtId="165" fontId="71" fillId="16" borderId="1" xfId="0" applyNumberFormat="1" applyFont="1" applyFill="1" applyBorder="1"/>
    <xf numFmtId="167" fontId="71" fillId="16" borderId="1" xfId="0" applyNumberFormat="1" applyFont="1" applyFill="1" applyBorder="1"/>
    <xf numFmtId="165" fontId="71" fillId="16" borderId="0" xfId="0" applyNumberFormat="1" applyFont="1" applyFill="1" applyBorder="1"/>
    <xf numFmtId="164" fontId="71" fillId="4" borderId="1" xfId="0" applyNumberFormat="1" applyFont="1" applyFill="1" applyBorder="1" applyAlignment="1">
      <alignment wrapText="1"/>
    </xf>
    <xf numFmtId="164" fontId="69" fillId="7" borderId="1" xfId="0" applyNumberFormat="1" applyFont="1" applyFill="1" applyBorder="1" applyAlignment="1">
      <alignment wrapText="1"/>
    </xf>
    <xf numFmtId="167" fontId="69" fillId="7" borderId="1" xfId="0" applyNumberFormat="1" applyFont="1" applyFill="1" applyBorder="1" applyAlignment="1">
      <alignment wrapText="1"/>
    </xf>
    <xf numFmtId="165" fontId="69" fillId="7" borderId="1" xfId="0" applyNumberFormat="1" applyFont="1" applyFill="1" applyBorder="1" applyAlignment="1">
      <alignment wrapText="1"/>
    </xf>
    <xf numFmtId="167" fontId="69" fillId="7" borderId="0" xfId="0" applyNumberFormat="1" applyFont="1" applyFill="1" applyBorder="1" applyAlignment="1">
      <alignment wrapText="1"/>
    </xf>
    <xf numFmtId="1" fontId="74" fillId="9" borderId="1" xfId="0" applyNumberFormat="1" applyFont="1" applyFill="1" applyBorder="1"/>
    <xf numFmtId="164" fontId="71" fillId="9" borderId="1" xfId="0" applyNumberFormat="1" applyFont="1" applyFill="1" applyBorder="1" applyAlignment="1">
      <alignment horizontal="right" wrapText="1"/>
    </xf>
    <xf numFmtId="165" fontId="75" fillId="9" borderId="2" xfId="0" applyNumberFormat="1" applyFont="1" applyFill="1" applyBorder="1"/>
    <xf numFmtId="167" fontId="71" fillId="9" borderId="2" xfId="0" applyNumberFormat="1" applyFont="1" applyFill="1" applyBorder="1"/>
    <xf numFmtId="165" fontId="71" fillId="9" borderId="2" xfId="0" applyNumberFormat="1" applyFont="1" applyFill="1" applyBorder="1"/>
    <xf numFmtId="165" fontId="76" fillId="9" borderId="2" xfId="0" applyNumberFormat="1" applyFont="1" applyFill="1" applyBorder="1"/>
    <xf numFmtId="167" fontId="21" fillId="9" borderId="1" xfId="0" applyNumberFormat="1" applyFont="1" applyFill="1" applyBorder="1"/>
    <xf numFmtId="167" fontId="21" fillId="9" borderId="0" xfId="0" applyNumberFormat="1" applyFont="1" applyFill="1" applyBorder="1"/>
    <xf numFmtId="165" fontId="21" fillId="9" borderId="1" xfId="0" applyNumberFormat="1" applyFont="1" applyFill="1" applyBorder="1"/>
    <xf numFmtId="165" fontId="20" fillId="9" borderId="2" xfId="0" applyNumberFormat="1" applyFont="1" applyFill="1" applyBorder="1"/>
    <xf numFmtId="165" fontId="19" fillId="9" borderId="1" xfId="0" applyNumberFormat="1" applyFont="1" applyFill="1" applyBorder="1"/>
    <xf numFmtId="165" fontId="19" fillId="9" borderId="0" xfId="0" applyNumberFormat="1" applyFont="1" applyFill="1" applyBorder="1"/>
    <xf numFmtId="165" fontId="77" fillId="9" borderId="2" xfId="0" applyNumberFormat="1" applyFont="1" applyFill="1" applyBorder="1"/>
    <xf numFmtId="165" fontId="69" fillId="9" borderId="2" xfId="0" applyNumberFormat="1" applyFont="1" applyFill="1" applyBorder="1"/>
    <xf numFmtId="167" fontId="69" fillId="9" borderId="1" xfId="0" applyNumberFormat="1" applyFont="1" applyFill="1" applyBorder="1"/>
    <xf numFmtId="167" fontId="69" fillId="9" borderId="0" xfId="0" applyNumberFormat="1" applyFont="1" applyFill="1" applyBorder="1"/>
    <xf numFmtId="166" fontId="21" fillId="9" borderId="1" xfId="0" applyNumberFormat="1" applyFont="1" applyFill="1" applyBorder="1" applyAlignment="1">
      <alignment wrapText="1"/>
    </xf>
    <xf numFmtId="164" fontId="20" fillId="9" borderId="1" xfId="0" applyNumberFormat="1" applyFont="1" applyFill="1" applyBorder="1" applyAlignment="1">
      <alignment wrapText="1"/>
    </xf>
    <xf numFmtId="167" fontId="20" fillId="9" borderId="2" xfId="0" applyNumberFormat="1" applyFont="1" applyFill="1" applyBorder="1"/>
    <xf numFmtId="165" fontId="20" fillId="9" borderId="1" xfId="0" applyNumberFormat="1" applyFont="1" applyFill="1" applyBorder="1"/>
    <xf numFmtId="165" fontId="20" fillId="9" borderId="0" xfId="0" applyNumberFormat="1" applyFont="1" applyFill="1" applyBorder="1"/>
    <xf numFmtId="167" fontId="71" fillId="5" borderId="0" xfId="0" applyNumberFormat="1" applyFont="1" applyFill="1" applyBorder="1"/>
    <xf numFmtId="1" fontId="10" fillId="9" borderId="1" xfId="0" applyNumberFormat="1" applyFont="1" applyFill="1" applyBorder="1"/>
    <xf numFmtId="167" fontId="5" fillId="0" borderId="2" xfId="0" applyNumberFormat="1" applyFont="1" applyFill="1" applyBorder="1"/>
    <xf numFmtId="167" fontId="4" fillId="6" borderId="1" xfId="0" applyNumberFormat="1" applyFont="1" applyFill="1" applyBorder="1"/>
    <xf numFmtId="165" fontId="4" fillId="6" borderId="0" xfId="0" applyNumberFormat="1" applyFont="1" applyFill="1" applyBorder="1"/>
    <xf numFmtId="167" fontId="4" fillId="4" borderId="1" xfId="0" applyNumberFormat="1" applyFont="1" applyFill="1" applyBorder="1"/>
    <xf numFmtId="165" fontId="4" fillId="4" borderId="0" xfId="0" applyNumberFormat="1" applyFont="1" applyFill="1" applyBorder="1"/>
    <xf numFmtId="167" fontId="11" fillId="7" borderId="1" xfId="0" applyNumberFormat="1" applyFont="1" applyFill="1" applyBorder="1"/>
    <xf numFmtId="165" fontId="11" fillId="7" borderId="0" xfId="0" applyNumberFormat="1" applyFont="1" applyFill="1" applyBorder="1"/>
    <xf numFmtId="167" fontId="5" fillId="9" borderId="2" xfId="0" applyNumberFormat="1" applyFont="1" applyFill="1" applyBorder="1"/>
    <xf numFmtId="165" fontId="5" fillId="9" borderId="0" xfId="0" applyNumberFormat="1" applyFont="1" applyFill="1" applyBorder="1"/>
    <xf numFmtId="0" fontId="24" fillId="0" borderId="0" xfId="0" applyFont="1"/>
    <xf numFmtId="167" fontId="8" fillId="5" borderId="1" xfId="0" applyNumberFormat="1" applyFont="1" applyFill="1" applyBorder="1"/>
    <xf numFmtId="165" fontId="8" fillId="5" borderId="0" xfId="0" applyNumberFormat="1" applyFont="1" applyFill="1" applyBorder="1"/>
    <xf numFmtId="164" fontId="11" fillId="16" borderId="1" xfId="0" applyNumberFormat="1" applyFont="1" applyFill="1" applyBorder="1" applyAlignment="1">
      <alignment wrapText="1"/>
    </xf>
    <xf numFmtId="165" fontId="8" fillId="16" borderId="1" xfId="0" applyNumberFormat="1" applyFont="1" applyFill="1" applyBorder="1"/>
    <xf numFmtId="167" fontId="8" fillId="16" borderId="1" xfId="0" applyNumberFormat="1" applyFont="1" applyFill="1" applyBorder="1"/>
    <xf numFmtId="165" fontId="8" fillId="16" borderId="0" xfId="0" applyNumberFormat="1" applyFont="1" applyFill="1" applyBorder="1"/>
    <xf numFmtId="167" fontId="8" fillId="9" borderId="1" xfId="0" applyNumberFormat="1" applyFont="1" applyFill="1" applyBorder="1"/>
    <xf numFmtId="165" fontId="8" fillId="9" borderId="0" xfId="0" applyNumberFormat="1" applyFont="1" applyFill="1" applyBorder="1"/>
    <xf numFmtId="164" fontId="11" fillId="9" borderId="1" xfId="0" applyNumberFormat="1" applyFont="1" applyFill="1" applyBorder="1" applyAlignment="1">
      <alignment wrapText="1"/>
    </xf>
    <xf numFmtId="167" fontId="11" fillId="7" borderId="0" xfId="0" applyNumberFormat="1" applyFont="1" applyFill="1" applyBorder="1"/>
    <xf numFmtId="165" fontId="5" fillId="2" borderId="2" xfId="0" applyNumberFormat="1" applyFont="1" applyFill="1" applyBorder="1"/>
    <xf numFmtId="165" fontId="5" fillId="2" borderId="0" xfId="0" applyNumberFormat="1" applyFont="1" applyFill="1" applyBorder="1"/>
    <xf numFmtId="168" fontId="0" fillId="7" borderId="0" xfId="0" applyNumberFormat="1" applyFill="1"/>
    <xf numFmtId="164" fontId="78" fillId="9" borderId="1" xfId="0" applyNumberFormat="1" applyFont="1" applyFill="1" applyBorder="1" applyAlignment="1">
      <alignment wrapText="1"/>
    </xf>
    <xf numFmtId="165" fontId="78" fillId="9" borderId="2" xfId="0" applyNumberFormat="1" applyFont="1" applyFill="1" applyBorder="1"/>
    <xf numFmtId="0" fontId="79" fillId="9" borderId="0" xfId="0" applyFont="1" applyFill="1"/>
    <xf numFmtId="14" fontId="0" fillId="0" borderId="0" xfId="0" applyNumberFormat="1"/>
    <xf numFmtId="164" fontId="11" fillId="17" borderId="1" xfId="0" applyNumberFormat="1" applyFont="1" applyFill="1" applyBorder="1" applyAlignment="1">
      <alignment horizontal="left" wrapText="1"/>
    </xf>
    <xf numFmtId="165" fontId="11" fillId="17" borderId="1" xfId="0" applyNumberFormat="1" applyFont="1" applyFill="1" applyBorder="1"/>
    <xf numFmtId="167" fontId="11" fillId="17" borderId="1" xfId="0" applyNumberFormat="1" applyFont="1" applyFill="1" applyBorder="1"/>
    <xf numFmtId="165" fontId="11" fillId="17" borderId="0" xfId="0" applyNumberFormat="1" applyFont="1" applyFill="1" applyBorder="1"/>
    <xf numFmtId="164" fontId="80" fillId="17" borderId="1" xfId="0" applyNumberFormat="1" applyFont="1" applyFill="1" applyBorder="1" applyAlignment="1">
      <alignment horizontal="left" wrapText="1"/>
    </xf>
    <xf numFmtId="165" fontId="80" fillId="17" borderId="1" xfId="0" applyNumberFormat="1" applyFont="1" applyFill="1" applyBorder="1"/>
    <xf numFmtId="167" fontId="80" fillId="17" borderId="1" xfId="0" applyNumberFormat="1" applyFont="1" applyFill="1" applyBorder="1"/>
    <xf numFmtId="0" fontId="13" fillId="8" borderId="0" xfId="0" applyFont="1" applyFill="1"/>
    <xf numFmtId="165" fontId="80" fillId="17" borderId="0" xfId="0" applyNumberFormat="1" applyFont="1" applyFill="1" applyBorder="1"/>
    <xf numFmtId="1" fontId="9" fillId="9" borderId="1" xfId="0" applyNumberFormat="1" applyFont="1" applyFill="1" applyBorder="1"/>
    <xf numFmtId="164" fontId="5" fillId="9" borderId="1" xfId="0" applyNumberFormat="1" applyFont="1" applyFill="1" applyBorder="1" applyAlignment="1">
      <alignment horizontal="left" wrapText="1"/>
    </xf>
    <xf numFmtId="0" fontId="24" fillId="0" borderId="1" xfId="0" applyFont="1" applyBorder="1"/>
    <xf numFmtId="168" fontId="0" fillId="2" borderId="0" xfId="0" applyNumberFormat="1" applyFill="1"/>
    <xf numFmtId="0" fontId="0" fillId="9" borderId="1" xfId="0" applyFill="1" applyBorder="1"/>
    <xf numFmtId="168" fontId="0" fillId="9" borderId="0" xfId="0" applyNumberFormat="1" applyFill="1"/>
    <xf numFmtId="165" fontId="81" fillId="17" borderId="2" xfId="0" applyNumberFormat="1" applyFont="1" applyFill="1" applyBorder="1"/>
    <xf numFmtId="165" fontId="8" fillId="2" borderId="2" xfId="0" applyNumberFormat="1" applyFont="1" applyFill="1" applyBorder="1"/>
    <xf numFmtId="0" fontId="13" fillId="2" borderId="0" xfId="0" applyFont="1" applyFill="1"/>
    <xf numFmtId="168" fontId="18" fillId="2" borderId="0" xfId="0" applyNumberFormat="1" applyFont="1" applyFill="1"/>
    <xf numFmtId="168" fontId="18" fillId="7" borderId="0" xfId="0" applyNumberFormat="1" applyFont="1" applyFill="1"/>
    <xf numFmtId="0" fontId="0" fillId="0" borderId="0" xfId="0" applyFont="1"/>
    <xf numFmtId="165" fontId="11" fillId="17" borderId="1" xfId="0" applyNumberFormat="1" applyFont="1" applyFill="1" applyBorder="1" applyAlignment="1">
      <alignment horizontal="right"/>
    </xf>
    <xf numFmtId="167" fontId="11" fillId="17" borderId="1" xfId="0" applyNumberFormat="1" applyFont="1" applyFill="1" applyBorder="1" applyAlignment="1">
      <alignment horizontal="right"/>
    </xf>
    <xf numFmtId="165" fontId="11" fillId="17" borderId="0" xfId="0" applyNumberFormat="1" applyFont="1" applyFill="1" applyBorder="1" applyAlignment="1">
      <alignment horizontal="right"/>
    </xf>
    <xf numFmtId="164" fontId="21" fillId="9" borderId="1" xfId="0" applyNumberFormat="1" applyFont="1" applyFill="1" applyBorder="1" applyAlignment="1">
      <alignment horizontal="left" wrapText="1"/>
    </xf>
    <xf numFmtId="165" fontId="76" fillId="9" borderId="2" xfId="0" applyNumberFormat="1" applyFont="1" applyFill="1" applyBorder="1" applyAlignment="1">
      <alignment horizontal="right"/>
    </xf>
    <xf numFmtId="167" fontId="76" fillId="9" borderId="2" xfId="0" applyNumberFormat="1" applyFont="1" applyFill="1" applyBorder="1" applyAlignment="1">
      <alignment horizontal="right"/>
    </xf>
    <xf numFmtId="167" fontId="76" fillId="9" borderId="0" xfId="0" applyNumberFormat="1" applyFont="1" applyFill="1" applyBorder="1" applyAlignment="1">
      <alignment horizontal="right"/>
    </xf>
    <xf numFmtId="168" fontId="18" fillId="0" borderId="0" xfId="0" applyNumberFormat="1" applyFont="1"/>
    <xf numFmtId="164" fontId="21" fillId="18" borderId="1" xfId="0" applyNumberFormat="1" applyFont="1" applyFill="1" applyBorder="1" applyAlignment="1">
      <alignment horizontal="left" wrapText="1"/>
    </xf>
    <xf numFmtId="165" fontId="76" fillId="18" borderId="2" xfId="0" applyNumberFormat="1" applyFont="1" applyFill="1" applyBorder="1" applyAlignment="1">
      <alignment horizontal="right"/>
    </xf>
    <xf numFmtId="167" fontId="76" fillId="18" borderId="2" xfId="0" applyNumberFormat="1" applyFont="1" applyFill="1" applyBorder="1" applyAlignment="1">
      <alignment horizontal="right"/>
    </xf>
    <xf numFmtId="167" fontId="76" fillId="18" borderId="0" xfId="0" applyNumberFormat="1" applyFont="1" applyFill="1" applyBorder="1" applyAlignment="1">
      <alignment horizontal="right"/>
    </xf>
    <xf numFmtId="164" fontId="4" fillId="17" borderId="1" xfId="0" applyNumberFormat="1" applyFont="1" applyFill="1" applyBorder="1" applyAlignment="1">
      <alignment horizontal="left" wrapText="1"/>
    </xf>
    <xf numFmtId="167" fontId="4" fillId="17" borderId="1" xfId="0" applyNumberFormat="1" applyFont="1" applyFill="1" applyBorder="1" applyAlignment="1">
      <alignment horizontal="right"/>
    </xf>
    <xf numFmtId="165" fontId="4" fillId="17" borderId="1" xfId="0" applyNumberFormat="1" applyFont="1" applyFill="1" applyBorder="1" applyAlignment="1">
      <alignment horizontal="right"/>
    </xf>
    <xf numFmtId="164" fontId="78" fillId="9" borderId="1" xfId="0" applyNumberFormat="1" applyFont="1" applyFill="1" applyBorder="1" applyAlignment="1">
      <alignment horizontal="left" wrapText="1"/>
    </xf>
    <xf numFmtId="165" fontId="5" fillId="9" borderId="2" xfId="0" applyNumberFormat="1" applyFont="1" applyFill="1" applyBorder="1" applyAlignment="1">
      <alignment horizontal="right"/>
    </xf>
    <xf numFmtId="167" fontId="5" fillId="9" borderId="2" xfId="0" applyNumberFormat="1" applyFont="1" applyFill="1" applyBorder="1" applyAlignment="1">
      <alignment horizontal="right"/>
    </xf>
    <xf numFmtId="165" fontId="78" fillId="9" borderId="2" xfId="0" applyNumberFormat="1" applyFont="1" applyFill="1" applyBorder="1" applyAlignment="1">
      <alignment horizontal="right"/>
    </xf>
    <xf numFmtId="0" fontId="79" fillId="0" borderId="0" xfId="0" applyFont="1"/>
    <xf numFmtId="165" fontId="5" fillId="9" borderId="0" xfId="0" applyNumberFormat="1" applyFont="1" applyFill="1" applyBorder="1" applyAlignment="1">
      <alignment horizontal="right"/>
    </xf>
    <xf numFmtId="164" fontId="20" fillId="9" borderId="1" xfId="0" applyNumberFormat="1" applyFont="1" applyFill="1" applyBorder="1" applyAlignment="1">
      <alignment horizontal="left" wrapText="1"/>
    </xf>
    <xf numFmtId="165" fontId="20" fillId="9" borderId="2" xfId="0" applyNumberFormat="1" applyFont="1" applyFill="1" applyBorder="1" applyAlignment="1">
      <alignment horizontal="right"/>
    </xf>
    <xf numFmtId="167" fontId="20" fillId="9" borderId="2" xfId="0" applyNumberFormat="1" applyFont="1" applyFill="1" applyBorder="1" applyAlignment="1">
      <alignment horizontal="right"/>
    </xf>
    <xf numFmtId="165" fontId="4" fillId="17" borderId="1" xfId="0" applyNumberFormat="1" applyFont="1" applyFill="1" applyBorder="1"/>
    <xf numFmtId="167" fontId="4" fillId="17" borderId="1" xfId="0" applyNumberFormat="1" applyFont="1" applyFill="1" applyBorder="1"/>
    <xf numFmtId="165" fontId="4" fillId="17" borderId="0" xfId="0" applyNumberFormat="1" applyFont="1" applyFill="1" applyBorder="1"/>
    <xf numFmtId="165" fontId="12" fillId="9" borderId="2" xfId="0" applyNumberFormat="1" applyFont="1" applyFill="1" applyBorder="1" applyAlignment="1">
      <alignment horizontal="right"/>
    </xf>
    <xf numFmtId="167" fontId="12" fillId="9" borderId="2" xfId="0" applyNumberFormat="1" applyFont="1" applyFill="1" applyBorder="1" applyAlignment="1">
      <alignment horizontal="right"/>
    </xf>
    <xf numFmtId="165" fontId="12" fillId="9" borderId="0" xfId="0" applyNumberFormat="1" applyFont="1" applyFill="1" applyBorder="1" applyAlignment="1">
      <alignment horizontal="right"/>
    </xf>
    <xf numFmtId="164" fontId="5" fillId="18" borderId="1" xfId="0" applyNumberFormat="1" applyFont="1" applyFill="1" applyBorder="1" applyAlignment="1">
      <alignment wrapText="1"/>
    </xf>
    <xf numFmtId="165" fontId="12" fillId="18" borderId="2" xfId="0" applyNumberFormat="1" applyFont="1" applyFill="1" applyBorder="1" applyAlignment="1">
      <alignment horizontal="right"/>
    </xf>
    <xf numFmtId="167" fontId="12" fillId="18" borderId="2" xfId="0" applyNumberFormat="1" applyFont="1" applyFill="1" applyBorder="1" applyAlignment="1">
      <alignment horizontal="right"/>
    </xf>
    <xf numFmtId="165" fontId="12" fillId="18" borderId="0" xfId="0" applyNumberFormat="1" applyFont="1" applyFill="1" applyBorder="1" applyAlignment="1">
      <alignment horizontal="right"/>
    </xf>
    <xf numFmtId="168" fontId="0" fillId="7" borderId="0" xfId="0" applyNumberFormat="1" applyFill="1" applyAlignment="1">
      <alignment horizontal="center"/>
    </xf>
    <xf numFmtId="165" fontId="12" fillId="2" borderId="2" xfId="0" applyNumberFormat="1" applyFont="1" applyFill="1" applyBorder="1" applyAlignment="1">
      <alignment horizontal="right"/>
    </xf>
    <xf numFmtId="165" fontId="82" fillId="9" borderId="2" xfId="0" applyNumberFormat="1" applyFont="1" applyFill="1" applyBorder="1" applyAlignment="1">
      <alignment horizontal="right"/>
    </xf>
    <xf numFmtId="167" fontId="82" fillId="9" borderId="2" xfId="0" applyNumberFormat="1" applyFont="1" applyFill="1" applyBorder="1" applyAlignment="1">
      <alignment horizontal="right"/>
    </xf>
    <xf numFmtId="165" fontId="82" fillId="9" borderId="0" xfId="0" applyNumberFormat="1" applyFont="1" applyFill="1" applyBorder="1" applyAlignment="1">
      <alignment horizontal="right"/>
    </xf>
    <xf numFmtId="165" fontId="82" fillId="17" borderId="2" xfId="0" applyNumberFormat="1" applyFont="1" applyFill="1" applyBorder="1" applyAlignment="1">
      <alignment horizontal="right"/>
    </xf>
    <xf numFmtId="165" fontId="83" fillId="17" borderId="2" xfId="0" applyNumberFormat="1" applyFont="1" applyFill="1" applyBorder="1" applyAlignment="1">
      <alignment horizontal="right"/>
    </xf>
    <xf numFmtId="167" fontId="4" fillId="17" borderId="0" xfId="0" applyNumberFormat="1" applyFont="1" applyFill="1" applyBorder="1"/>
    <xf numFmtId="167" fontId="23" fillId="5" borderId="1" xfId="0" applyNumberFormat="1" applyFont="1" applyFill="1" applyBorder="1"/>
    <xf numFmtId="167" fontId="23" fillId="5" borderId="0" xfId="0" applyNumberFormat="1" applyFont="1" applyFill="1" applyBorder="1"/>
    <xf numFmtId="165" fontId="21" fillId="8" borderId="0" xfId="0" applyNumberFormat="1" applyFont="1" applyFill="1" applyBorder="1"/>
    <xf numFmtId="164" fontId="17" fillId="17" borderId="1" xfId="0" applyNumberFormat="1" applyFont="1" applyFill="1" applyBorder="1" applyAlignment="1">
      <alignment horizontal="right" wrapText="1"/>
    </xf>
    <xf numFmtId="165" fontId="21" fillId="17" borderId="2" xfId="0" applyNumberFormat="1" applyFont="1" applyFill="1" applyBorder="1"/>
    <xf numFmtId="167" fontId="17" fillId="17" borderId="2" xfId="0" applyNumberFormat="1" applyFont="1" applyFill="1" applyBorder="1"/>
    <xf numFmtId="167" fontId="17" fillId="17" borderId="0" xfId="0" applyNumberFormat="1" applyFont="1" applyFill="1" applyBorder="1"/>
    <xf numFmtId="167" fontId="84" fillId="17" borderId="2" xfId="0" applyNumberFormat="1" applyFont="1" applyFill="1" applyBorder="1"/>
    <xf numFmtId="165" fontId="84" fillId="17" borderId="2" xfId="0" applyNumberFormat="1" applyFont="1" applyFill="1" applyBorder="1"/>
    <xf numFmtId="165" fontId="84" fillId="17" borderId="0" xfId="0" applyNumberFormat="1" applyFont="1" applyFill="1" applyBorder="1"/>
    <xf numFmtId="164" fontId="17" fillId="11" borderId="1" xfId="0" applyNumberFormat="1" applyFont="1" applyFill="1" applyBorder="1" applyAlignment="1">
      <alignment horizontal="right" wrapText="1"/>
    </xf>
    <xf numFmtId="165" fontId="21" fillId="11" borderId="2" xfId="0" applyNumberFormat="1" applyFont="1" applyFill="1" applyBorder="1"/>
    <xf numFmtId="167" fontId="21" fillId="11" borderId="2" xfId="0" applyNumberFormat="1" applyFont="1" applyFill="1" applyBorder="1"/>
    <xf numFmtId="165" fontId="21" fillId="11" borderId="0" xfId="0" applyNumberFormat="1" applyFont="1" applyFill="1" applyBorder="1"/>
    <xf numFmtId="165" fontId="21" fillId="19" borderId="2" xfId="0" applyNumberFormat="1" applyFont="1" applyFill="1" applyBorder="1"/>
    <xf numFmtId="165" fontId="21" fillId="2" borderId="2" xfId="0" applyNumberFormat="1" applyFont="1" applyFill="1" applyBorder="1"/>
    <xf numFmtId="165" fontId="21" fillId="20" borderId="2" xfId="0" applyNumberFormat="1" applyFont="1" applyFill="1" applyBorder="1"/>
    <xf numFmtId="165" fontId="21" fillId="20" borderId="0" xfId="0" applyNumberFormat="1" applyFont="1" applyFill="1" applyBorder="1"/>
    <xf numFmtId="164" fontId="17" fillId="9" borderId="1" xfId="0" applyNumberFormat="1" applyFont="1" applyFill="1" applyBorder="1" applyAlignment="1">
      <alignment wrapText="1"/>
    </xf>
    <xf numFmtId="164" fontId="19" fillId="9" borderId="1" xfId="0" applyNumberFormat="1" applyFont="1" applyFill="1" applyBorder="1" applyAlignment="1">
      <alignment wrapText="1"/>
    </xf>
    <xf numFmtId="165" fontId="20" fillId="2" borderId="2" xfId="0" applyNumberFormat="1" applyFont="1" applyFill="1" applyBorder="1"/>
    <xf numFmtId="165" fontId="20" fillId="2" borderId="0" xfId="0" applyNumberFormat="1" applyFont="1" applyFill="1" applyBorder="1"/>
    <xf numFmtId="164" fontId="69" fillId="11" borderId="1" xfId="0" applyNumberFormat="1" applyFont="1" applyFill="1" applyBorder="1" applyAlignment="1">
      <alignment horizontal="right" wrapText="1"/>
    </xf>
    <xf numFmtId="165" fontId="20" fillId="11" borderId="2" xfId="0" applyNumberFormat="1" applyFont="1" applyFill="1" applyBorder="1"/>
    <xf numFmtId="167" fontId="17" fillId="11" borderId="2" xfId="0" applyNumberFormat="1" applyFont="1" applyFill="1" applyBorder="1"/>
    <xf numFmtId="165" fontId="17" fillId="11" borderId="2" xfId="0" applyNumberFormat="1" applyFont="1" applyFill="1" applyBorder="1"/>
    <xf numFmtId="167" fontId="17" fillId="11" borderId="0" xfId="0" applyNumberFormat="1" applyFont="1" applyFill="1" applyBorder="1"/>
    <xf numFmtId="167" fontId="21" fillId="11" borderId="0" xfId="0" applyNumberFormat="1" applyFont="1" applyFill="1" applyBorder="1"/>
    <xf numFmtId="165" fontId="0" fillId="18" borderId="0" xfId="0" applyNumberFormat="1" applyFill="1"/>
    <xf numFmtId="164" fontId="21" fillId="17" borderId="1" xfId="0" applyNumberFormat="1" applyFont="1" applyFill="1" applyBorder="1" applyAlignment="1">
      <alignment wrapText="1"/>
    </xf>
    <xf numFmtId="167" fontId="21" fillId="17" borderId="2" xfId="0" applyNumberFormat="1" applyFont="1" applyFill="1" applyBorder="1"/>
    <xf numFmtId="0" fontId="13" fillId="17" borderId="0" xfId="0" applyFont="1" applyFill="1"/>
    <xf numFmtId="0" fontId="0" fillId="17" borderId="0" xfId="0" applyFill="1"/>
    <xf numFmtId="165" fontId="21" fillId="17" borderId="0" xfId="0" applyNumberFormat="1" applyFont="1" applyFill="1" applyBorder="1"/>
    <xf numFmtId="167" fontId="71" fillId="17" borderId="2" xfId="0" applyNumberFormat="1" applyFont="1" applyFill="1" applyBorder="1"/>
    <xf numFmtId="165" fontId="71" fillId="17" borderId="2" xfId="0" applyNumberFormat="1" applyFont="1" applyFill="1" applyBorder="1"/>
    <xf numFmtId="167" fontId="21" fillId="17" borderId="0" xfId="0" applyNumberFormat="1" applyFont="1" applyFill="1" applyBorder="1"/>
    <xf numFmtId="165" fontId="75" fillId="16" borderId="2" xfId="0" applyNumberFormat="1" applyFont="1" applyFill="1" applyBorder="1"/>
    <xf numFmtId="167" fontId="75" fillId="16" borderId="2" xfId="0" applyNumberFormat="1" applyFont="1" applyFill="1" applyBorder="1"/>
    <xf numFmtId="165" fontId="71" fillId="16" borderId="2" xfId="0" applyNumberFormat="1" applyFont="1" applyFill="1" applyBorder="1"/>
    <xf numFmtId="167" fontId="75" fillId="9" borderId="2" xfId="0" applyNumberFormat="1" applyFont="1" applyFill="1" applyBorder="1"/>
    <xf numFmtId="165" fontId="75" fillId="9" borderId="0" xfId="0" applyNumberFormat="1" applyFont="1" applyFill="1" applyBorder="1"/>
    <xf numFmtId="167" fontId="78" fillId="9" borderId="2" xfId="0" applyNumberFormat="1" applyFont="1" applyFill="1" applyBorder="1"/>
    <xf numFmtId="165" fontId="78" fillId="9" borderId="1" xfId="0" applyNumberFormat="1" applyFont="1" applyFill="1" applyBorder="1"/>
    <xf numFmtId="167" fontId="11" fillId="5" borderId="1" xfId="0" applyNumberFormat="1" applyFont="1" applyFill="1" applyBorder="1"/>
    <xf numFmtId="167" fontId="11" fillId="5" borderId="0" xfId="0" applyNumberFormat="1" applyFont="1" applyFill="1" applyBorder="1"/>
    <xf numFmtId="167" fontId="5" fillId="9" borderId="0" xfId="0" applyNumberFormat="1" applyFont="1" applyFill="1" applyBorder="1"/>
    <xf numFmtId="0" fontId="0" fillId="21" borderId="0" xfId="0" applyFill="1"/>
    <xf numFmtId="165" fontId="20" fillId="0" borderId="0" xfId="0" applyNumberFormat="1" applyFont="1" applyFill="1" applyBorder="1"/>
    <xf numFmtId="164" fontId="20" fillId="0" borderId="1" xfId="0" applyNumberFormat="1" applyFont="1" applyFill="1" applyBorder="1" applyAlignment="1">
      <alignment wrapText="1"/>
    </xf>
    <xf numFmtId="167" fontId="71" fillId="16" borderId="2" xfId="0" applyNumberFormat="1" applyFont="1" applyFill="1" applyBorder="1"/>
    <xf numFmtId="164" fontId="71" fillId="9" borderId="1" xfId="0" applyNumberFormat="1" applyFont="1" applyFill="1" applyBorder="1" applyAlignment="1">
      <alignment wrapText="1"/>
    </xf>
    <xf numFmtId="165" fontId="71" fillId="9" borderId="0" xfId="0" applyNumberFormat="1" applyFont="1" applyFill="1" applyBorder="1"/>
    <xf numFmtId="167" fontId="4" fillId="4" borderId="1" xfId="0" applyNumberFormat="1" applyFont="1" applyFill="1" applyBorder="1" applyAlignment="1">
      <alignment wrapText="1"/>
    </xf>
    <xf numFmtId="165" fontId="4" fillId="4" borderId="1" xfId="0" applyNumberFormat="1" applyFont="1" applyFill="1" applyBorder="1" applyAlignment="1">
      <alignment wrapText="1"/>
    </xf>
    <xf numFmtId="164" fontId="4" fillId="4" borderId="0" xfId="0" applyNumberFormat="1" applyFont="1" applyFill="1" applyBorder="1" applyAlignment="1">
      <alignment wrapText="1"/>
    </xf>
    <xf numFmtId="167" fontId="11" fillId="7" borderId="1" xfId="0" applyNumberFormat="1" applyFont="1" applyFill="1" applyBorder="1" applyAlignment="1">
      <alignment wrapText="1"/>
    </xf>
    <xf numFmtId="165" fontId="11" fillId="7" borderId="1" xfId="0" applyNumberFormat="1" applyFont="1" applyFill="1" applyBorder="1" applyAlignment="1">
      <alignment wrapText="1"/>
    </xf>
    <xf numFmtId="167" fontId="11" fillId="7" borderId="0" xfId="0" applyNumberFormat="1" applyFont="1" applyFill="1" applyBorder="1" applyAlignment="1">
      <alignment wrapText="1"/>
    </xf>
    <xf numFmtId="167" fontId="8" fillId="9" borderId="2" xfId="0" applyNumberFormat="1" applyFont="1" applyFill="1" applyBorder="1"/>
    <xf numFmtId="0" fontId="22" fillId="8" borderId="0" xfId="0" applyFont="1" applyFill="1"/>
    <xf numFmtId="0" fontId="22" fillId="0" borderId="0" xfId="0" applyFont="1"/>
    <xf numFmtId="165" fontId="86" fillId="9" borderId="0" xfId="0" applyNumberFormat="1" applyFont="1" applyFill="1" applyBorder="1"/>
    <xf numFmtId="165" fontId="17" fillId="9" borderId="2" xfId="0" applyNumberFormat="1" applyFont="1" applyFill="1" applyBorder="1"/>
    <xf numFmtId="165" fontId="78" fillId="9" borderId="0" xfId="0" applyNumberFormat="1" applyFont="1" applyFill="1" applyBorder="1"/>
    <xf numFmtId="0" fontId="9" fillId="8" borderId="0" xfId="0" applyFont="1" applyFill="1"/>
    <xf numFmtId="167" fontId="11" fillId="5" borderId="1" xfId="0" applyNumberFormat="1" applyFont="1" applyFill="1" applyBorder="1" applyAlignment="1">
      <alignment wrapText="1"/>
    </xf>
    <xf numFmtId="165" fontId="11" fillId="5" borderId="1" xfId="0" applyNumberFormat="1" applyFont="1" applyFill="1" applyBorder="1" applyAlignment="1">
      <alignment wrapText="1"/>
    </xf>
    <xf numFmtId="164" fontId="11" fillId="5" borderId="0" xfId="0" applyNumberFormat="1" applyFont="1" applyFill="1" applyBorder="1" applyAlignment="1">
      <alignment wrapText="1"/>
    </xf>
    <xf numFmtId="165" fontId="11" fillId="16" borderId="2" xfId="0" applyNumberFormat="1" applyFont="1" applyFill="1" applyBorder="1"/>
    <xf numFmtId="167" fontId="11" fillId="16" borderId="2" xfId="0" applyNumberFormat="1" applyFont="1" applyFill="1" applyBorder="1"/>
    <xf numFmtId="165" fontId="11" fillId="16" borderId="0" xfId="0" applyNumberFormat="1" applyFont="1" applyFill="1" applyBorder="1"/>
    <xf numFmtId="164" fontId="11" fillId="7" borderId="0" xfId="0" applyNumberFormat="1" applyFont="1" applyFill="1" applyBorder="1" applyAlignment="1">
      <alignment wrapText="1"/>
    </xf>
    <xf numFmtId="164" fontId="67" fillId="7" borderId="1" xfId="0" applyNumberFormat="1" applyFont="1" applyFill="1" applyBorder="1" applyAlignment="1">
      <alignment wrapText="1"/>
    </xf>
    <xf numFmtId="165" fontId="67" fillId="7" borderId="1" xfId="0" applyNumberFormat="1" applyFont="1" applyFill="1" applyBorder="1"/>
    <xf numFmtId="167" fontId="67" fillId="7" borderId="1" xfId="0" applyNumberFormat="1" applyFont="1" applyFill="1" applyBorder="1"/>
    <xf numFmtId="165" fontId="67" fillId="7" borderId="0" xfId="0" applyNumberFormat="1" applyFont="1" applyFill="1" applyBorder="1"/>
    <xf numFmtId="164" fontId="67" fillId="5" borderId="1" xfId="0" applyNumberFormat="1" applyFont="1" applyFill="1" applyBorder="1" applyAlignment="1">
      <alignment wrapText="1"/>
    </xf>
    <xf numFmtId="165" fontId="67" fillId="5" borderId="2" xfId="0" applyNumberFormat="1" applyFont="1" applyFill="1" applyBorder="1"/>
    <xf numFmtId="167" fontId="67" fillId="5" borderId="2" xfId="0" applyNumberFormat="1" applyFont="1" applyFill="1" applyBorder="1"/>
    <xf numFmtId="165" fontId="67" fillId="5" borderId="0" xfId="0" applyNumberFormat="1" applyFont="1" applyFill="1" applyBorder="1"/>
    <xf numFmtId="164" fontId="67" fillId="16" borderId="1" xfId="0" applyNumberFormat="1" applyFont="1" applyFill="1" applyBorder="1" applyAlignment="1">
      <alignment wrapText="1"/>
    </xf>
    <xf numFmtId="165" fontId="67" fillId="16" borderId="2" xfId="0" applyNumberFormat="1" applyFont="1" applyFill="1" applyBorder="1"/>
    <xf numFmtId="167" fontId="67" fillId="16" borderId="2" xfId="0" applyNumberFormat="1" applyFont="1" applyFill="1" applyBorder="1"/>
    <xf numFmtId="165" fontId="67" fillId="16" borderId="0" xfId="0" applyNumberFormat="1" applyFont="1" applyFill="1" applyBorder="1"/>
    <xf numFmtId="167" fontId="8" fillId="0" borderId="2" xfId="0" applyNumberFormat="1" applyFont="1" applyFill="1" applyBorder="1"/>
    <xf numFmtId="165" fontId="8" fillId="0" borderId="0" xfId="0" applyNumberFormat="1" applyFont="1" applyFill="1" applyBorder="1"/>
    <xf numFmtId="165" fontId="11" fillId="5" borderId="0" xfId="0" applyNumberFormat="1" applyFont="1" applyFill="1" applyBorder="1"/>
    <xf numFmtId="165" fontId="17" fillId="17" borderId="2" xfId="0" applyNumberFormat="1" applyFont="1" applyFill="1" applyBorder="1"/>
    <xf numFmtId="167" fontId="17" fillId="9" borderId="2" xfId="0" applyNumberFormat="1" applyFont="1" applyFill="1" applyBorder="1"/>
    <xf numFmtId="165" fontId="17" fillId="9" borderId="0" xfId="0" applyNumberFormat="1" applyFont="1" applyFill="1" applyBorder="1"/>
    <xf numFmtId="165" fontId="11" fillId="16" borderId="1" xfId="0" applyNumberFormat="1" applyFont="1" applyFill="1" applyBorder="1"/>
    <xf numFmtId="167" fontId="11" fillId="16" borderId="1" xfId="0" applyNumberFormat="1" applyFont="1" applyFill="1" applyBorder="1"/>
    <xf numFmtId="167" fontId="4" fillId="4" borderId="0" xfId="0" applyNumberFormat="1" applyFont="1" applyFill="1" applyBorder="1"/>
    <xf numFmtId="165" fontId="11" fillId="9" borderId="1" xfId="0" applyNumberFormat="1" applyFont="1" applyFill="1" applyBorder="1"/>
    <xf numFmtId="167" fontId="11" fillId="9" borderId="1" xfId="0" applyNumberFormat="1" applyFont="1" applyFill="1" applyBorder="1"/>
    <xf numFmtId="165" fontId="11" fillId="9" borderId="0" xfId="0" applyNumberFormat="1" applyFont="1" applyFill="1" applyBorder="1"/>
    <xf numFmtId="167" fontId="11" fillId="4" borderId="1" xfId="0" applyNumberFormat="1" applyFont="1" applyFill="1" applyBorder="1"/>
    <xf numFmtId="165" fontId="11" fillId="4" borderId="0" xfId="0" applyNumberFormat="1" applyFont="1" applyFill="1" applyBorder="1"/>
    <xf numFmtId="165" fontId="8" fillId="17" borderId="0" xfId="0" applyNumberFormat="1" applyFont="1" applyFill="1"/>
    <xf numFmtId="167" fontId="8" fillId="9" borderId="0" xfId="0" applyNumberFormat="1" applyFont="1" applyFill="1"/>
    <xf numFmtId="165" fontId="8" fillId="9" borderId="0" xfId="0" applyNumberFormat="1" applyFont="1" applyFill="1"/>
    <xf numFmtId="165" fontId="8" fillId="17" borderId="2" xfId="0" applyNumberFormat="1" applyFont="1" applyFill="1" applyBorder="1"/>
    <xf numFmtId="165" fontId="8" fillId="17" borderId="0" xfId="0" applyNumberFormat="1" applyFont="1" applyFill="1" applyBorder="1"/>
    <xf numFmtId="165" fontId="5" fillId="17" borderId="2" xfId="0" applyNumberFormat="1" applyFont="1" applyFill="1" applyBorder="1"/>
    <xf numFmtId="165" fontId="5" fillId="17" borderId="0" xfId="0" applyNumberFormat="1" applyFont="1" applyFill="1" applyBorder="1"/>
    <xf numFmtId="167" fontId="8" fillId="4" borderId="2" xfId="0" applyNumberFormat="1" applyFont="1" applyFill="1" applyBorder="1"/>
    <xf numFmtId="167" fontId="8" fillId="4" borderId="0" xfId="0" applyNumberFormat="1" applyFont="1" applyFill="1" applyBorder="1"/>
    <xf numFmtId="164" fontId="5" fillId="7" borderId="1" xfId="0" applyNumberFormat="1" applyFont="1" applyFill="1" applyBorder="1" applyAlignment="1">
      <alignment wrapText="1"/>
    </xf>
    <xf numFmtId="165" fontId="8" fillId="7" borderId="2" xfId="0" applyNumberFormat="1" applyFont="1" applyFill="1" applyBorder="1"/>
    <xf numFmtId="167" fontId="8" fillId="7" borderId="2" xfId="0" applyNumberFormat="1" applyFont="1" applyFill="1" applyBorder="1"/>
    <xf numFmtId="167" fontId="8" fillId="7" borderId="0" xfId="0" applyNumberFormat="1" applyFont="1" applyFill="1" applyBorder="1"/>
    <xf numFmtId="165" fontId="11" fillId="9" borderId="2" xfId="0" applyNumberFormat="1" applyFont="1" applyFill="1" applyBorder="1"/>
    <xf numFmtId="167" fontId="11" fillId="9" borderId="2" xfId="0" applyNumberFormat="1" applyFont="1" applyFill="1" applyBorder="1"/>
    <xf numFmtId="165" fontId="11" fillId="2" borderId="2" xfId="0" applyNumberFormat="1" applyFont="1" applyFill="1" applyBorder="1"/>
    <xf numFmtId="164" fontId="16" fillId="9" borderId="1" xfId="0" applyNumberFormat="1" applyFont="1" applyFill="1" applyBorder="1" applyAlignment="1">
      <alignment wrapText="1"/>
    </xf>
    <xf numFmtId="165" fontId="16" fillId="9" borderId="2" xfId="0" applyNumberFormat="1" applyFont="1" applyFill="1" applyBorder="1"/>
    <xf numFmtId="167" fontId="16" fillId="9" borderId="2" xfId="0" applyNumberFormat="1" applyFont="1" applyFill="1" applyBorder="1"/>
    <xf numFmtId="165" fontId="4" fillId="9" borderId="2" xfId="0" applyNumberFormat="1" applyFont="1" applyFill="1" applyBorder="1"/>
    <xf numFmtId="165" fontId="4" fillId="9" borderId="0" xfId="0" applyNumberFormat="1" applyFont="1" applyFill="1" applyBorder="1"/>
    <xf numFmtId="167" fontId="8" fillId="5" borderId="2" xfId="0" applyNumberFormat="1" applyFont="1" applyFill="1" applyBorder="1"/>
    <xf numFmtId="167" fontId="8" fillId="5" borderId="0" xfId="0" applyNumberFormat="1" applyFont="1" applyFill="1" applyBorder="1"/>
    <xf numFmtId="165" fontId="16" fillId="9" borderId="0" xfId="0" applyNumberFormat="1" applyFont="1" applyFill="1" applyBorder="1"/>
    <xf numFmtId="167" fontId="4" fillId="6" borderId="2" xfId="0" applyNumberFormat="1" applyFont="1" applyFill="1" applyBorder="1"/>
    <xf numFmtId="167" fontId="5" fillId="0" borderId="2" xfId="0" applyNumberFormat="1" applyFont="1" applyBorder="1"/>
    <xf numFmtId="167" fontId="5" fillId="9" borderId="1" xfId="0" applyNumberFormat="1" applyFont="1" applyFill="1" applyBorder="1"/>
    <xf numFmtId="167" fontId="4" fillId="4" borderId="2" xfId="0" applyNumberFormat="1" applyFont="1" applyFill="1" applyBorder="1"/>
    <xf numFmtId="167" fontId="4" fillId="11" borderId="2" xfId="0" applyNumberFormat="1" applyFont="1" applyFill="1" applyBorder="1"/>
    <xf numFmtId="165" fontId="4" fillId="11" borderId="0" xfId="0" applyNumberFormat="1" applyFont="1" applyFill="1" applyBorder="1"/>
    <xf numFmtId="1" fontId="3" fillId="9" borderId="0" xfId="0" applyNumberFormat="1" applyFont="1" applyFill="1"/>
    <xf numFmtId="0" fontId="8" fillId="0" borderId="0" xfId="0" applyFont="1" applyAlignment="1">
      <alignment horizontal="center" wrapText="1"/>
    </xf>
    <xf numFmtId="167" fontId="8" fillId="0" borderId="0" xfId="0" applyNumberFormat="1" applyFont="1"/>
    <xf numFmtId="167" fontId="5" fillId="0" borderId="0" xfId="0" applyNumberFormat="1" applyFont="1"/>
    <xf numFmtId="165" fontId="5" fillId="0" borderId="0" xfId="0" applyNumberFormat="1" applyFont="1"/>
    <xf numFmtId="1" fontId="13" fillId="9" borderId="1" xfId="0" applyNumberFormat="1" applyFont="1" applyFill="1" applyBorder="1"/>
    <xf numFmtId="164" fontId="8" fillId="0" borderId="1" xfId="0" applyNumberFormat="1" applyFont="1" applyBorder="1" applyAlignment="1">
      <alignment horizontal="center" wrapText="1"/>
    </xf>
    <xf numFmtId="0" fontId="88" fillId="0" borderId="0" xfId="0" applyFont="1"/>
    <xf numFmtId="168" fontId="88" fillId="0" borderId="0" xfId="0" applyNumberFormat="1" applyFont="1"/>
    <xf numFmtId="1" fontId="72" fillId="9" borderId="1" xfId="0" applyNumberFormat="1" applyFont="1" applyFill="1" applyBorder="1"/>
    <xf numFmtId="164" fontId="17" fillId="4" borderId="1" xfId="0" applyNumberFormat="1" applyFont="1" applyFill="1" applyBorder="1" applyAlignment="1">
      <alignment wrapText="1"/>
    </xf>
    <xf numFmtId="165" fontId="17" fillId="4" borderId="1" xfId="0" applyNumberFormat="1" applyFont="1" applyFill="1" applyBorder="1"/>
    <xf numFmtId="167" fontId="17" fillId="4" borderId="1" xfId="0" applyNumberFormat="1" applyFont="1" applyFill="1" applyBorder="1"/>
    <xf numFmtId="165" fontId="17" fillId="4" borderId="0" xfId="0" applyNumberFormat="1" applyFont="1" applyFill="1" applyBorder="1"/>
    <xf numFmtId="164" fontId="17" fillId="7" borderId="1" xfId="0" applyNumberFormat="1" applyFont="1" applyFill="1" applyBorder="1" applyAlignment="1">
      <alignment wrapText="1"/>
    </xf>
    <xf numFmtId="165" fontId="17" fillId="7" borderId="1" xfId="0" applyNumberFormat="1" applyFont="1" applyFill="1" applyBorder="1"/>
    <xf numFmtId="167" fontId="17" fillId="7" borderId="1" xfId="0" applyNumberFormat="1" applyFont="1" applyFill="1" applyBorder="1"/>
    <xf numFmtId="165" fontId="17" fillId="7" borderId="0" xfId="0" applyNumberFormat="1" applyFont="1" applyFill="1" applyBorder="1"/>
    <xf numFmtId="164" fontId="17" fillId="15" borderId="1" xfId="0" applyNumberFormat="1" applyFont="1" applyFill="1" applyBorder="1" applyAlignment="1">
      <alignment wrapText="1"/>
    </xf>
    <xf numFmtId="165" fontId="17" fillId="15" borderId="1" xfId="0" applyNumberFormat="1" applyFont="1" applyFill="1" applyBorder="1"/>
    <xf numFmtId="167" fontId="17" fillId="15" borderId="1" xfId="0" applyNumberFormat="1" applyFont="1" applyFill="1" applyBorder="1"/>
    <xf numFmtId="165" fontId="17" fillId="15" borderId="0" xfId="0" applyNumberFormat="1" applyFont="1" applyFill="1" applyBorder="1"/>
    <xf numFmtId="167" fontId="17" fillId="15" borderId="0" xfId="0" applyNumberFormat="1" applyFont="1" applyFill="1" applyBorder="1"/>
    <xf numFmtId="164" fontId="17" fillId="5" borderId="1" xfId="0" applyNumberFormat="1" applyFont="1" applyFill="1" applyBorder="1" applyAlignment="1">
      <alignment wrapText="1"/>
    </xf>
    <xf numFmtId="165" fontId="17" fillId="5" borderId="1" xfId="0" applyNumberFormat="1" applyFont="1" applyFill="1" applyBorder="1"/>
    <xf numFmtId="167" fontId="17" fillId="5" borderId="1" xfId="0" applyNumberFormat="1" applyFont="1" applyFill="1" applyBorder="1"/>
    <xf numFmtId="165" fontId="17" fillId="5" borderId="0" xfId="0" applyNumberFormat="1" applyFont="1" applyFill="1" applyBorder="1"/>
    <xf numFmtId="164" fontId="17" fillId="16" borderId="1" xfId="0" applyNumberFormat="1" applyFont="1" applyFill="1" applyBorder="1" applyAlignment="1">
      <alignment wrapText="1"/>
    </xf>
    <xf numFmtId="165" fontId="17" fillId="16" borderId="1" xfId="0" applyNumberFormat="1" applyFont="1" applyFill="1" applyBorder="1"/>
    <xf numFmtId="167" fontId="17" fillId="16" borderId="1" xfId="0" applyNumberFormat="1" applyFont="1" applyFill="1" applyBorder="1"/>
    <xf numFmtId="165" fontId="17" fillId="16" borderId="0" xfId="0" applyNumberFormat="1" applyFont="1" applyFill="1" applyBorder="1"/>
    <xf numFmtId="167" fontId="17" fillId="7" borderId="1" xfId="0" applyNumberFormat="1" applyFont="1" applyFill="1" applyBorder="1" applyAlignment="1">
      <alignment wrapText="1"/>
    </xf>
    <xf numFmtId="165" fontId="17" fillId="7" borderId="1" xfId="0" applyNumberFormat="1" applyFont="1" applyFill="1" applyBorder="1" applyAlignment="1">
      <alignment wrapText="1"/>
    </xf>
    <xf numFmtId="167" fontId="17" fillId="7" borderId="0" xfId="0" applyNumberFormat="1" applyFont="1" applyFill="1" applyBorder="1" applyAlignment="1">
      <alignment wrapText="1"/>
    </xf>
    <xf numFmtId="1" fontId="22" fillId="9" borderId="1" xfId="0" applyNumberFormat="1" applyFont="1" applyFill="1" applyBorder="1"/>
    <xf numFmtId="164" fontId="17" fillId="9" borderId="1" xfId="0" applyNumberFormat="1" applyFont="1" applyFill="1" applyBorder="1" applyAlignment="1">
      <alignment horizontal="right" wrapText="1"/>
    </xf>
    <xf numFmtId="167" fontId="17" fillId="9" borderId="1" xfId="0" applyNumberFormat="1" applyFont="1" applyFill="1" applyBorder="1"/>
    <xf numFmtId="167" fontId="17" fillId="9" borderId="0" xfId="0" applyNumberFormat="1" applyFont="1" applyFill="1" applyBorder="1"/>
    <xf numFmtId="167" fontId="17" fillId="5" borderId="0" xfId="0" applyNumberFormat="1" applyFont="1" applyFill="1" applyBorder="1"/>
    <xf numFmtId="165" fontId="8" fillId="6" borderId="1" xfId="0" applyNumberFormat="1" applyFont="1" applyFill="1" applyBorder="1"/>
    <xf numFmtId="167" fontId="8" fillId="6" borderId="1" xfId="0" applyNumberFormat="1" applyFont="1" applyFill="1" applyBorder="1"/>
    <xf numFmtId="165" fontId="8" fillId="6" borderId="0" xfId="0" applyNumberFormat="1" applyFont="1" applyFill="1" applyBorder="1"/>
    <xf numFmtId="167" fontId="8" fillId="4" borderId="1" xfId="0" applyNumberFormat="1" applyFont="1" applyFill="1" applyBorder="1"/>
    <xf numFmtId="165" fontId="8" fillId="4" borderId="0" xfId="0" applyNumberFormat="1" applyFont="1" applyFill="1" applyBorder="1"/>
    <xf numFmtId="168" fontId="88" fillId="7" borderId="0" xfId="0" applyNumberFormat="1" applyFont="1" applyFill="1"/>
    <xf numFmtId="14" fontId="88" fillId="0" borderId="0" xfId="0" applyNumberFormat="1" applyFont="1"/>
    <xf numFmtId="0" fontId="88" fillId="9" borderId="0" xfId="0" applyFont="1" applyFill="1"/>
    <xf numFmtId="164" fontId="8" fillId="17" borderId="1" xfId="0" applyNumberFormat="1" applyFont="1" applyFill="1" applyBorder="1" applyAlignment="1">
      <alignment horizontal="left" wrapText="1"/>
    </xf>
    <xf numFmtId="165" fontId="8" fillId="17" borderId="1" xfId="0" applyNumberFormat="1" applyFont="1" applyFill="1" applyBorder="1"/>
    <xf numFmtId="167" fontId="8" fillId="17" borderId="1" xfId="0" applyNumberFormat="1" applyFont="1" applyFill="1" applyBorder="1"/>
    <xf numFmtId="0" fontId="88" fillId="0" borderId="1" xfId="0" applyFont="1" applyBorder="1"/>
    <xf numFmtId="168" fontId="88" fillId="2" borderId="0" xfId="0" applyNumberFormat="1" applyFont="1" applyFill="1"/>
    <xf numFmtId="0" fontId="88" fillId="9" borderId="1" xfId="0" applyFont="1" applyFill="1" applyBorder="1"/>
    <xf numFmtId="168" fontId="88" fillId="9" borderId="0" xfId="0" applyNumberFormat="1" applyFont="1" applyFill="1"/>
    <xf numFmtId="165" fontId="89" fillId="17" borderId="2" xfId="0" applyNumberFormat="1" applyFont="1" applyFill="1" applyBorder="1"/>
    <xf numFmtId="0" fontId="88" fillId="2" borderId="0" xfId="0" applyFont="1" applyFill="1"/>
    <xf numFmtId="165" fontId="8" fillId="17" borderId="1" xfId="0" applyNumberFormat="1" applyFont="1" applyFill="1" applyBorder="1" applyAlignment="1">
      <alignment horizontal="right"/>
    </xf>
    <xf numFmtId="167" fontId="8" fillId="17" borderId="1" xfId="0" applyNumberFormat="1" applyFont="1" applyFill="1" applyBorder="1" applyAlignment="1">
      <alignment horizontal="right"/>
    </xf>
    <xf numFmtId="165" fontId="8" fillId="17" borderId="0" xfId="0" applyNumberFormat="1" applyFont="1" applyFill="1" applyBorder="1" applyAlignment="1">
      <alignment horizontal="right"/>
    </xf>
    <xf numFmtId="165" fontId="21" fillId="9" borderId="2" xfId="0" applyNumberFormat="1" applyFont="1" applyFill="1" applyBorder="1" applyAlignment="1">
      <alignment horizontal="right"/>
    </xf>
    <xf numFmtId="167" fontId="21" fillId="9" borderId="2" xfId="0" applyNumberFormat="1" applyFont="1" applyFill="1" applyBorder="1" applyAlignment="1">
      <alignment horizontal="right"/>
    </xf>
    <xf numFmtId="167" fontId="21" fillId="9" borderId="0" xfId="0" applyNumberFormat="1" applyFont="1" applyFill="1" applyBorder="1" applyAlignment="1">
      <alignment horizontal="right"/>
    </xf>
    <xf numFmtId="167" fontId="21" fillId="18" borderId="2" xfId="0" applyNumberFormat="1" applyFont="1" applyFill="1" applyBorder="1" applyAlignment="1">
      <alignment horizontal="right"/>
    </xf>
    <xf numFmtId="167" fontId="21" fillId="18" borderId="0" xfId="0" applyNumberFormat="1" applyFont="1" applyFill="1" applyBorder="1" applyAlignment="1">
      <alignment horizontal="right"/>
    </xf>
    <xf numFmtId="165" fontId="5" fillId="18" borderId="2" xfId="0" applyNumberFormat="1" applyFont="1" applyFill="1" applyBorder="1" applyAlignment="1">
      <alignment horizontal="right"/>
    </xf>
    <xf numFmtId="167" fontId="5" fillId="18" borderId="2" xfId="0" applyNumberFormat="1" applyFont="1" applyFill="1" applyBorder="1" applyAlignment="1">
      <alignment horizontal="right"/>
    </xf>
    <xf numFmtId="165" fontId="5" fillId="18" borderId="0" xfId="0" applyNumberFormat="1" applyFont="1" applyFill="1" applyBorder="1" applyAlignment="1">
      <alignment horizontal="right"/>
    </xf>
    <xf numFmtId="168" fontId="88" fillId="7" borderId="0" xfId="0" applyNumberFormat="1" applyFont="1" applyFill="1" applyAlignment="1">
      <alignment horizontal="center"/>
    </xf>
    <xf numFmtId="165" fontId="20" fillId="9" borderId="0" xfId="0" applyNumberFormat="1" applyFont="1" applyFill="1" applyBorder="1" applyAlignment="1">
      <alignment horizontal="right"/>
    </xf>
    <xf numFmtId="165" fontId="20" fillId="17" borderId="2" xfId="0" applyNumberFormat="1" applyFont="1" applyFill="1" applyBorder="1" applyAlignment="1">
      <alignment horizontal="right"/>
    </xf>
    <xf numFmtId="165" fontId="8" fillId="17" borderId="2" xfId="0" applyNumberFormat="1" applyFont="1" applyFill="1" applyBorder="1" applyAlignment="1">
      <alignment horizontal="right"/>
    </xf>
    <xf numFmtId="167" fontId="8" fillId="17" borderId="0" xfId="0" applyNumberFormat="1" applyFont="1" applyFill="1" applyBorder="1"/>
    <xf numFmtId="0" fontId="88" fillId="17" borderId="0" xfId="0" applyFont="1" applyFill="1"/>
    <xf numFmtId="0" fontId="88" fillId="0" borderId="2" xfId="0" applyFont="1" applyBorder="1"/>
    <xf numFmtId="0" fontId="24" fillId="0" borderId="2" xfId="0" applyFont="1" applyBorder="1"/>
    <xf numFmtId="0" fontId="88" fillId="9" borderId="2" xfId="0" applyFont="1" applyFill="1" applyBorder="1"/>
    <xf numFmtId="165" fontId="88" fillId="0" borderId="1" xfId="0" applyNumberFormat="1" applyFont="1" applyBorder="1"/>
    <xf numFmtId="165" fontId="88" fillId="0" borderId="0" xfId="0" applyNumberFormat="1" applyFont="1"/>
    <xf numFmtId="165" fontId="88" fillId="17" borderId="0" xfId="0" applyNumberFormat="1" applyFont="1" applyFill="1"/>
    <xf numFmtId="165" fontId="5" fillId="17" borderId="1" xfId="0" applyNumberFormat="1" applyFont="1" applyFill="1" applyBorder="1"/>
    <xf numFmtId="0" fontId="88" fillId="17" borderId="1" xfId="0" applyFont="1" applyFill="1" applyBorder="1"/>
    <xf numFmtId="165" fontId="88" fillId="17" borderId="1" xfId="0" applyNumberFormat="1" applyFont="1" applyFill="1" applyBorder="1"/>
    <xf numFmtId="165" fontId="5" fillId="17" borderId="1" xfId="0" applyNumberFormat="1" applyFont="1" applyFill="1" applyBorder="1" applyAlignment="1">
      <alignment horizontal="right"/>
    </xf>
    <xf numFmtId="167" fontId="88" fillId="17" borderId="0" xfId="0" applyNumberFormat="1" applyFont="1" applyFill="1"/>
    <xf numFmtId="165" fontId="78" fillId="0" borderId="2" xfId="0" applyNumberFormat="1" applyFont="1" applyFill="1" applyBorder="1" applyAlignment="1">
      <alignment horizontal="right"/>
    </xf>
    <xf numFmtId="164" fontId="78" fillId="22" borderId="1" xfId="0" applyNumberFormat="1" applyFont="1" applyFill="1" applyBorder="1" applyAlignment="1">
      <alignment horizontal="left" wrapText="1"/>
    </xf>
    <xf numFmtId="165" fontId="5" fillId="22" borderId="2" xfId="0" applyNumberFormat="1" applyFont="1" applyFill="1" applyBorder="1" applyAlignment="1">
      <alignment horizontal="right"/>
    </xf>
    <xf numFmtId="167" fontId="5" fillId="22" borderId="2" xfId="0" applyNumberFormat="1" applyFont="1" applyFill="1" applyBorder="1" applyAlignment="1">
      <alignment horizontal="right"/>
    </xf>
    <xf numFmtId="165" fontId="78" fillId="22" borderId="2" xfId="0" applyNumberFormat="1" applyFont="1" applyFill="1" applyBorder="1" applyAlignment="1">
      <alignment horizontal="right"/>
    </xf>
    <xf numFmtId="1" fontId="9" fillId="22" borderId="1" xfId="0" applyNumberFormat="1" applyFont="1" applyFill="1" applyBorder="1"/>
    <xf numFmtId="164" fontId="5" fillId="22" borderId="1" xfId="0" applyNumberFormat="1" applyFont="1" applyFill="1" applyBorder="1" applyAlignment="1">
      <alignment horizontal="left" wrapText="1"/>
    </xf>
    <xf numFmtId="165" fontId="88" fillId="9" borderId="0" xfId="0" applyNumberFormat="1" applyFont="1" applyFill="1"/>
    <xf numFmtId="165" fontId="8" fillId="9" borderId="2" xfId="0" applyNumberFormat="1" applyFont="1" applyFill="1" applyBorder="1" applyAlignment="1">
      <alignment horizontal="right"/>
    </xf>
    <xf numFmtId="167" fontId="8" fillId="9" borderId="2" xfId="0" applyNumberFormat="1" applyFont="1" applyFill="1" applyBorder="1" applyAlignment="1">
      <alignment horizontal="right"/>
    </xf>
    <xf numFmtId="164" fontId="5" fillId="17" borderId="1" xfId="0" applyNumberFormat="1" applyFont="1" applyFill="1" applyBorder="1" applyAlignment="1">
      <alignment wrapText="1"/>
    </xf>
    <xf numFmtId="165" fontId="5" fillId="17" borderId="2" xfId="0" applyNumberFormat="1" applyFont="1" applyFill="1" applyBorder="1" applyAlignment="1">
      <alignment horizontal="right"/>
    </xf>
    <xf numFmtId="167" fontId="5" fillId="17" borderId="2" xfId="0" applyNumberFormat="1" applyFont="1" applyFill="1" applyBorder="1" applyAlignment="1">
      <alignment horizontal="right"/>
    </xf>
    <xf numFmtId="0" fontId="90" fillId="0" borderId="0" xfId="0" applyFont="1"/>
    <xf numFmtId="165" fontId="79" fillId="0" borderId="0" xfId="0" applyNumberFormat="1" applyFont="1"/>
    <xf numFmtId="0" fontId="79" fillId="0" borderId="0" xfId="0" applyFont="1" applyAlignment="1">
      <alignment wrapText="1"/>
    </xf>
    <xf numFmtId="164" fontId="5" fillId="22" borderId="1" xfId="0" applyNumberFormat="1" applyFont="1" applyFill="1" applyBorder="1" applyAlignment="1">
      <alignment wrapText="1"/>
    </xf>
    <xf numFmtId="165" fontId="5" fillId="22" borderId="2" xfId="0" applyNumberFormat="1" applyFont="1" applyFill="1" applyBorder="1"/>
    <xf numFmtId="167" fontId="5" fillId="22" borderId="2" xfId="0" applyNumberFormat="1" applyFont="1" applyFill="1" applyBorder="1"/>
    <xf numFmtId="164" fontId="20" fillId="22" borderId="1" xfId="0" applyNumberFormat="1" applyFont="1" applyFill="1" applyBorder="1" applyAlignment="1">
      <alignment wrapText="1"/>
    </xf>
    <xf numFmtId="165" fontId="20" fillId="22" borderId="1" xfId="0" applyNumberFormat="1" applyFont="1" applyFill="1" applyBorder="1"/>
    <xf numFmtId="164" fontId="78" fillId="22" borderId="1" xfId="0" applyNumberFormat="1" applyFont="1" applyFill="1" applyBorder="1" applyAlignment="1">
      <alignment wrapText="1"/>
    </xf>
    <xf numFmtId="165" fontId="78" fillId="22" borderId="2" xfId="0" applyNumberFormat="1" applyFont="1" applyFill="1" applyBorder="1"/>
    <xf numFmtId="165" fontId="90" fillId="22" borderId="0" xfId="0" applyNumberFormat="1" applyFont="1" applyFill="1"/>
    <xf numFmtId="165" fontId="90" fillId="9" borderId="0" xfId="0" applyNumberFormat="1" applyFont="1" applyFill="1"/>
    <xf numFmtId="14" fontId="88" fillId="9" borderId="0" xfId="0" applyNumberFormat="1" applyFont="1" applyFill="1"/>
    <xf numFmtId="164" fontId="8" fillId="9" borderId="1" xfId="0" applyNumberFormat="1" applyFont="1" applyFill="1" applyBorder="1" applyAlignment="1">
      <alignment horizontal="left" wrapText="1"/>
    </xf>
    <xf numFmtId="167" fontId="8" fillId="9" borderId="0" xfId="0" applyNumberFormat="1" applyFont="1" applyFill="1" applyBorder="1"/>
    <xf numFmtId="165" fontId="79" fillId="22" borderId="1" xfId="0" applyNumberFormat="1" applyFont="1" applyFill="1" applyBorder="1"/>
    <xf numFmtId="165" fontId="20" fillId="22" borderId="2" xfId="0" applyNumberFormat="1" applyFont="1" applyFill="1" applyBorder="1" applyAlignment="1">
      <alignment horizontal="right"/>
    </xf>
    <xf numFmtId="167" fontId="20" fillId="22" borderId="2" xfId="0" applyNumberFormat="1" applyFont="1" applyFill="1" applyBorder="1" applyAlignment="1">
      <alignment horizontal="right"/>
    </xf>
    <xf numFmtId="165" fontId="88" fillId="22" borderId="1" xfId="0" applyNumberFormat="1" applyFont="1" applyFill="1" applyBorder="1"/>
    <xf numFmtId="165" fontId="90" fillId="22" borderId="1" xfId="0" applyNumberFormat="1" applyFont="1" applyFill="1" applyBorder="1"/>
    <xf numFmtId="164" fontId="8" fillId="22" borderId="1" xfId="0" applyNumberFormat="1" applyFont="1" applyFill="1" applyBorder="1" applyAlignment="1">
      <alignment wrapText="1"/>
    </xf>
    <xf numFmtId="165" fontId="8" fillId="22" borderId="2" xfId="0" applyNumberFormat="1" applyFont="1" applyFill="1" applyBorder="1" applyAlignment="1">
      <alignment horizontal="right"/>
    </xf>
    <xf numFmtId="167" fontId="8" fillId="22" borderId="2" xfId="0" applyNumberFormat="1" applyFont="1" applyFill="1" applyBorder="1" applyAlignment="1">
      <alignment horizontal="right"/>
    </xf>
    <xf numFmtId="0" fontId="1" fillId="0" borderId="0" xfId="0" applyFont="1" applyAlignment="1">
      <alignment wrapText="1"/>
    </xf>
    <xf numFmtId="169" fontId="0" fillId="0" borderId="0" xfId="0" applyNumberFormat="1"/>
    <xf numFmtId="169" fontId="1" fillId="0" borderId="1" xfId="0" applyNumberFormat="1" applyFont="1" applyBorder="1" applyAlignment="1">
      <alignment horizontal="center" wrapText="1"/>
    </xf>
    <xf numFmtId="0" fontId="1" fillId="0" borderId="1" xfId="0" applyNumberFormat="1" applyFont="1" applyBorder="1"/>
    <xf numFmtId="0" fontId="1" fillId="0" borderId="1" xfId="0" applyFont="1" applyBorder="1" applyAlignment="1">
      <alignment horizontal="center" wrapText="1"/>
    </xf>
    <xf numFmtId="0" fontId="91" fillId="7" borderId="1" xfId="0" applyFont="1" applyFill="1" applyBorder="1" applyAlignment="1">
      <alignment wrapText="1"/>
    </xf>
    <xf numFmtId="169" fontId="91" fillId="7" borderId="1" xfId="0" applyNumberFormat="1" applyFont="1" applyFill="1" applyBorder="1"/>
    <xf numFmtId="169" fontId="0" fillId="9" borderId="1" xfId="0" applyNumberFormat="1" applyFont="1" applyFill="1" applyBorder="1"/>
    <xf numFmtId="169" fontId="0" fillId="0" borderId="1" xfId="0" applyNumberFormat="1" applyFont="1" applyBorder="1"/>
    <xf numFmtId="169" fontId="0" fillId="0" borderId="1" xfId="0" applyNumberFormat="1" applyBorder="1" applyAlignment="1">
      <alignment horizontal="center"/>
    </xf>
    <xf numFmtId="169" fontId="0" fillId="0" borderId="1" xfId="0" applyNumberFormat="1" applyBorder="1"/>
    <xf numFmtId="169" fontId="91" fillId="9" borderId="1" xfId="0" applyNumberFormat="1" applyFont="1" applyFill="1" applyBorder="1"/>
    <xf numFmtId="0" fontId="91" fillId="8" borderId="1" xfId="0" applyFont="1" applyFill="1" applyBorder="1" applyAlignment="1">
      <alignment wrapText="1"/>
    </xf>
    <xf numFmtId="169" fontId="91" fillId="8" borderId="1" xfId="0" applyNumberFormat="1" applyFont="1" applyFill="1" applyBorder="1"/>
    <xf numFmtId="169" fontId="0" fillId="8" borderId="1" xfId="0" applyNumberFormat="1" applyFont="1" applyFill="1" applyBorder="1"/>
    <xf numFmtId="164" fontId="78" fillId="22" borderId="10" xfId="0" applyNumberFormat="1" applyFont="1" applyFill="1" applyBorder="1" applyAlignment="1">
      <alignment horizontal="left" wrapText="1"/>
    </xf>
    <xf numFmtId="165" fontId="5" fillId="22" borderId="12" xfId="0" applyNumberFormat="1" applyFont="1" applyFill="1" applyBorder="1" applyAlignment="1">
      <alignment horizontal="right"/>
    </xf>
    <xf numFmtId="167" fontId="5" fillId="22" borderId="12" xfId="0" applyNumberFormat="1" applyFont="1" applyFill="1" applyBorder="1" applyAlignment="1">
      <alignment horizontal="right"/>
    </xf>
    <xf numFmtId="165" fontId="78" fillId="22" borderId="12" xfId="0" applyNumberFormat="1" applyFont="1" applyFill="1" applyBorder="1" applyAlignment="1">
      <alignment horizontal="right"/>
    </xf>
    <xf numFmtId="165" fontId="78" fillId="9" borderId="12" xfId="0" applyNumberFormat="1" applyFont="1" applyFill="1" applyBorder="1" applyAlignment="1">
      <alignment horizontal="right"/>
    </xf>
    <xf numFmtId="167" fontId="8" fillId="0" borderId="1" xfId="0" applyNumberFormat="1" applyFont="1" applyBorder="1"/>
    <xf numFmtId="165" fontId="89" fillId="9" borderId="2" xfId="0" applyNumberFormat="1" applyFont="1" applyFill="1" applyBorder="1"/>
    <xf numFmtId="165" fontId="8" fillId="22" borderId="2" xfId="0" applyNumberFormat="1" applyFont="1" applyFill="1" applyBorder="1"/>
    <xf numFmtId="165" fontId="21" fillId="22" borderId="2" xfId="0" applyNumberFormat="1" applyFont="1" applyFill="1" applyBorder="1"/>
    <xf numFmtId="167" fontId="21" fillId="22" borderId="2" xfId="0" applyNumberFormat="1" applyFont="1" applyFill="1" applyBorder="1"/>
    <xf numFmtId="165" fontId="8" fillId="9" borderId="1" xfId="0" applyNumberFormat="1" applyFont="1" applyFill="1" applyBorder="1" applyAlignment="1">
      <alignment horizontal="right"/>
    </xf>
    <xf numFmtId="167" fontId="8" fillId="9" borderId="1" xfId="0" applyNumberFormat="1" applyFont="1" applyFill="1" applyBorder="1" applyAlignment="1">
      <alignment horizontal="right"/>
    </xf>
    <xf numFmtId="165" fontId="5" fillId="9" borderId="1" xfId="0" applyNumberFormat="1" applyFont="1" applyFill="1" applyBorder="1" applyAlignment="1">
      <alignment horizontal="right"/>
    </xf>
    <xf numFmtId="164" fontId="21" fillId="22" borderId="1" xfId="0" applyNumberFormat="1" applyFont="1" applyFill="1" applyBorder="1" applyAlignment="1">
      <alignment horizontal="left" wrapText="1"/>
    </xf>
    <xf numFmtId="165" fontId="21" fillId="22" borderId="2" xfId="0" applyNumberFormat="1" applyFont="1" applyFill="1" applyBorder="1" applyAlignment="1">
      <alignment horizontal="right"/>
    </xf>
    <xf numFmtId="167" fontId="21" fillId="22" borderId="2" xfId="0" applyNumberFormat="1" applyFont="1" applyFill="1" applyBorder="1" applyAlignment="1">
      <alignment horizontal="right"/>
    </xf>
    <xf numFmtId="167" fontId="90" fillId="22" borderId="0" xfId="0" applyNumberFormat="1" applyFont="1" applyFill="1"/>
    <xf numFmtId="4" fontId="29" fillId="6" borderId="3" xfId="0" applyNumberFormat="1" applyFont="1" applyFill="1" applyBorder="1" applyAlignment="1">
      <alignment horizontal="center" wrapText="1"/>
    </xf>
    <xf numFmtId="165" fontId="78" fillId="0" borderId="2" xfId="0" applyNumberFormat="1" applyFont="1" applyFill="1" applyBorder="1"/>
    <xf numFmtId="165" fontId="8" fillId="0" borderId="1" xfId="0" applyNumberFormat="1" applyFont="1" applyFill="1" applyBorder="1" applyAlignment="1">
      <alignment horizontal="right"/>
    </xf>
    <xf numFmtId="167" fontId="21" fillId="0" borderId="2" xfId="0" applyNumberFormat="1" applyFont="1" applyFill="1" applyBorder="1" applyAlignment="1">
      <alignment horizontal="right"/>
    </xf>
    <xf numFmtId="167" fontId="8" fillId="0" borderId="1" xfId="0" applyNumberFormat="1" applyFont="1" applyFill="1" applyBorder="1"/>
    <xf numFmtId="165" fontId="78" fillId="0" borderId="1" xfId="0" applyNumberFormat="1" applyFont="1" applyFill="1" applyBorder="1"/>
    <xf numFmtId="14" fontId="7" fillId="0" borderId="2" xfId="0" applyNumberFormat="1" applyFont="1" applyFill="1" applyBorder="1" applyAlignment="1">
      <alignment horizontal="center" vertical="center" wrapText="1"/>
    </xf>
    <xf numFmtId="165" fontId="8" fillId="22" borderId="1" xfId="0" applyNumberFormat="1" applyFont="1" applyFill="1" applyBorder="1"/>
    <xf numFmtId="165" fontId="8" fillId="22" borderId="1" xfId="0" applyNumberFormat="1" applyFont="1" applyFill="1" applyBorder="1" applyAlignment="1">
      <alignment horizontal="right"/>
    </xf>
    <xf numFmtId="165" fontId="21" fillId="22" borderId="1" xfId="0" applyNumberFormat="1" applyFont="1" applyFill="1" applyBorder="1" applyAlignment="1">
      <alignment horizontal="right"/>
    </xf>
    <xf numFmtId="165" fontId="94" fillId="22" borderId="2" xfId="0" applyNumberFormat="1" applyFont="1" applyFill="1" applyBorder="1" applyAlignment="1">
      <alignment horizontal="right"/>
    </xf>
    <xf numFmtId="165" fontId="21" fillId="22" borderId="1" xfId="0" applyNumberFormat="1" applyFont="1" applyFill="1" applyBorder="1"/>
    <xf numFmtId="165" fontId="0" fillId="9" borderId="0" xfId="0" applyNumberFormat="1" applyFill="1"/>
    <xf numFmtId="1" fontId="10" fillId="22" borderId="1" xfId="0" applyNumberFormat="1" applyFont="1" applyFill="1" applyBorder="1"/>
    <xf numFmtId="164" fontId="21" fillId="22" borderId="1" xfId="0" applyNumberFormat="1" applyFont="1" applyFill="1" applyBorder="1" applyAlignment="1">
      <alignment wrapText="1"/>
    </xf>
    <xf numFmtId="0" fontId="0" fillId="0" borderId="4" xfId="0" applyBorder="1" applyAlignment="1">
      <alignment wrapText="1"/>
    </xf>
    <xf numFmtId="0" fontId="0" fillId="0" borderId="5" xfId="0" applyBorder="1" applyAlignment="1">
      <alignment wrapText="1"/>
    </xf>
    <xf numFmtId="1" fontId="10" fillId="6" borderId="1" xfId="0" applyNumberFormat="1" applyFont="1" applyFill="1" applyBorder="1"/>
    <xf numFmtId="164" fontId="21" fillId="6" borderId="1" xfId="0" applyNumberFormat="1" applyFont="1" applyFill="1" applyBorder="1" applyAlignment="1">
      <alignment wrapText="1"/>
    </xf>
    <xf numFmtId="165" fontId="21" fillId="6" borderId="2" xfId="0" applyNumberFormat="1" applyFont="1" applyFill="1" applyBorder="1"/>
    <xf numFmtId="167" fontId="21" fillId="6" borderId="2" xfId="0" applyNumberFormat="1" applyFont="1" applyFill="1" applyBorder="1"/>
    <xf numFmtId="165" fontId="1" fillId="22" borderId="0" xfId="0" applyNumberFormat="1" applyFont="1" applyFill="1"/>
    <xf numFmtId="165" fontId="1" fillId="9" borderId="1" xfId="0" applyNumberFormat="1" applyFont="1" applyFill="1" applyBorder="1"/>
    <xf numFmtId="165" fontId="0" fillId="22" borderId="0" xfId="0" applyNumberFormat="1" applyFill="1"/>
    <xf numFmtId="164" fontId="17" fillId="22" borderId="1" xfId="0" applyNumberFormat="1" applyFont="1" applyFill="1" applyBorder="1" applyAlignment="1">
      <alignment wrapText="1"/>
    </xf>
    <xf numFmtId="164" fontId="19" fillId="22" borderId="1" xfId="0" applyNumberFormat="1" applyFont="1" applyFill="1" applyBorder="1" applyAlignment="1">
      <alignment wrapText="1"/>
    </xf>
    <xf numFmtId="165" fontId="20" fillId="22" borderId="2" xfId="0" applyNumberFormat="1" applyFont="1" applyFill="1" applyBorder="1"/>
    <xf numFmtId="167" fontId="20" fillId="22" borderId="2" xfId="0" applyNumberFormat="1" applyFont="1" applyFill="1" applyBorder="1"/>
    <xf numFmtId="165" fontId="1" fillId="22" borderId="0" xfId="0" applyNumberFormat="1" applyFont="1" applyFill="1" applyAlignment="1">
      <alignment horizontal="left"/>
    </xf>
    <xf numFmtId="0" fontId="0" fillId="0" borderId="0" xfId="0" applyAlignment="1">
      <alignment horizontal="left"/>
    </xf>
    <xf numFmtId="0" fontId="0" fillId="9" borderId="0" xfId="0" applyFill="1" applyAlignment="1">
      <alignment horizontal="left"/>
    </xf>
    <xf numFmtId="167" fontId="1" fillId="22" borderId="0" xfId="0" applyNumberFormat="1" applyFont="1" applyFill="1" applyAlignment="1">
      <alignment horizontal="left"/>
    </xf>
    <xf numFmtId="165" fontId="1" fillId="9" borderId="0" xfId="0" applyNumberFormat="1" applyFont="1" applyFill="1"/>
    <xf numFmtId="165" fontId="75" fillId="22" borderId="2" xfId="0" applyNumberFormat="1" applyFont="1" applyFill="1" applyBorder="1"/>
    <xf numFmtId="167" fontId="75" fillId="22" borderId="2" xfId="0" applyNumberFormat="1" applyFont="1" applyFill="1" applyBorder="1"/>
    <xf numFmtId="49" fontId="47" fillId="0" borderId="1" xfId="0" applyNumberFormat="1" applyFont="1" applyBorder="1" applyAlignment="1">
      <alignment horizontal="center" vertical="center" wrapText="1"/>
    </xf>
    <xf numFmtId="0" fontId="95" fillId="0" borderId="0" xfId="0" applyFont="1"/>
    <xf numFmtId="4" fontId="29" fillId="18" borderId="0" xfId="0" applyNumberFormat="1" applyFont="1" applyFill="1" applyAlignment="1">
      <alignment wrapText="1"/>
    </xf>
    <xf numFmtId="4" fontId="29" fillId="2" borderId="0" xfId="0" applyNumberFormat="1" applyFont="1" applyFill="1" applyAlignment="1">
      <alignment wrapText="1"/>
    </xf>
    <xf numFmtId="0" fontId="36" fillId="2" borderId="0" xfId="0" applyFont="1" applyFill="1" applyBorder="1" applyAlignment="1">
      <alignment horizontal="center" vertical="center"/>
    </xf>
    <xf numFmtId="4" fontId="29" fillId="2" borderId="0" xfId="0" applyNumberFormat="1" applyFont="1" applyFill="1" applyAlignment="1">
      <alignment horizontal="left" wrapText="1"/>
    </xf>
    <xf numFmtId="4" fontId="35" fillId="2" borderId="1" xfId="0" applyNumberFormat="1" applyFont="1" applyFill="1" applyBorder="1" applyAlignment="1">
      <alignment wrapText="1"/>
    </xf>
    <xf numFmtId="4" fontId="42" fillId="2" borderId="0" xfId="0" applyNumberFormat="1" applyFont="1" applyFill="1" applyBorder="1" applyAlignment="1">
      <alignment wrapText="1"/>
    </xf>
    <xf numFmtId="4" fontId="29" fillId="2" borderId="9" xfId="0" applyNumberFormat="1" applyFont="1" applyFill="1" applyBorder="1" applyAlignment="1">
      <alignment wrapText="1"/>
    </xf>
    <xf numFmtId="4" fontId="42" fillId="2" borderId="2" xfId="0" applyNumberFormat="1" applyFont="1" applyFill="1" applyBorder="1" applyAlignment="1">
      <alignment horizontal="left" wrapText="1"/>
    </xf>
    <xf numFmtId="4" fontId="42" fillId="2" borderId="4" xfId="0" applyNumberFormat="1" applyFont="1" applyFill="1" applyBorder="1" applyAlignment="1">
      <alignment horizontal="left" wrapText="1"/>
    </xf>
    <xf numFmtId="4" fontId="35" fillId="2" borderId="4" xfId="0" applyNumberFormat="1" applyFont="1" applyFill="1" applyBorder="1" applyAlignment="1">
      <alignment wrapText="1"/>
    </xf>
    <xf numFmtId="4" fontId="43" fillId="2" borderId="1" xfId="0" applyNumberFormat="1" applyFont="1" applyFill="1" applyBorder="1" applyAlignment="1">
      <alignment horizontal="center" wrapText="1"/>
    </xf>
    <xf numFmtId="4" fontId="44" fillId="2" borderId="1" xfId="0" applyNumberFormat="1" applyFont="1" applyFill="1" applyBorder="1" applyAlignment="1">
      <alignment wrapText="1"/>
    </xf>
    <xf numFmtId="4" fontId="35" fillId="2" borderId="0" xfId="0" applyNumberFormat="1" applyFont="1" applyFill="1" applyAlignment="1">
      <alignment wrapText="1"/>
    </xf>
    <xf numFmtId="4" fontId="45" fillId="2" borderId="1" xfId="0" applyNumberFormat="1" applyFont="1" applyFill="1" applyBorder="1" applyAlignment="1">
      <alignment horizontal="center" wrapText="1"/>
    </xf>
    <xf numFmtId="4" fontId="35" fillId="2" borderId="0" xfId="0" quotePrefix="1" applyNumberFormat="1" applyFont="1" applyFill="1" applyAlignment="1">
      <alignment horizontal="left" wrapText="1"/>
    </xf>
    <xf numFmtId="4" fontId="31" fillId="2" borderId="0" xfId="0" applyNumberFormat="1" applyFont="1" applyFill="1" applyAlignment="1">
      <alignment wrapText="1"/>
    </xf>
    <xf numFmtId="4" fontId="46" fillId="2" borderId="0" xfId="0" applyNumberFormat="1" applyFont="1" applyFill="1" applyAlignment="1">
      <alignment horizontal="justify" vertical="center" wrapText="1"/>
    </xf>
    <xf numFmtId="4" fontId="33" fillId="2" borderId="0" xfId="0" applyNumberFormat="1" applyFont="1" applyFill="1" applyBorder="1" applyAlignment="1">
      <alignment horizontal="left" vertical="top" wrapText="1"/>
    </xf>
    <xf numFmtId="49" fontId="96"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1" fontId="9" fillId="9" borderId="0" xfId="0" applyNumberFormat="1" applyFont="1" applyFill="1" applyBorder="1"/>
    <xf numFmtId="49" fontId="64" fillId="0" borderId="0" xfId="0" applyNumberFormat="1" applyFont="1" applyBorder="1" applyAlignment="1">
      <alignment horizontal="center" vertical="center" wrapText="1"/>
    </xf>
    <xf numFmtId="49" fontId="61" fillId="0" borderId="0" xfId="0" applyNumberFormat="1" applyFont="1" applyBorder="1" applyAlignment="1">
      <alignment horizontal="center" vertical="center"/>
    </xf>
    <xf numFmtId="0" fontId="66" fillId="0" borderId="0" xfId="0" applyFont="1" applyBorder="1" applyAlignment="1">
      <alignment horizontal="center" vertical="center" wrapText="1"/>
    </xf>
    <xf numFmtId="4" fontId="29" fillId="0" borderId="0" xfId="0" applyNumberFormat="1" applyFont="1" applyBorder="1" applyAlignment="1">
      <alignment horizontal="center" vertical="center"/>
    </xf>
    <xf numFmtId="0" fontId="38" fillId="0" borderId="0" xfId="0" applyFont="1" applyBorder="1" applyAlignment="1">
      <alignment horizontal="center" vertical="center" wrapText="1"/>
    </xf>
    <xf numFmtId="49" fontId="38" fillId="0" borderId="0" xfId="0" applyNumberFormat="1" applyFont="1" applyBorder="1" applyAlignment="1">
      <alignment horizontal="center" vertical="center"/>
    </xf>
    <xf numFmtId="0" fontId="79" fillId="6" borderId="0" xfId="0" applyFont="1" applyFill="1"/>
    <xf numFmtId="165" fontId="78" fillId="6" borderId="12" xfId="0" applyNumberFormat="1" applyFont="1" applyFill="1" applyBorder="1" applyAlignment="1">
      <alignment horizontal="right"/>
    </xf>
    <xf numFmtId="0" fontId="38" fillId="2" borderId="0" xfId="0" applyFont="1" applyFill="1" applyBorder="1" applyAlignment="1">
      <alignment horizontal="center" vertical="center"/>
    </xf>
    <xf numFmtId="4" fontId="33" fillId="2" borderId="0" xfId="0" applyNumberFormat="1" applyFont="1" applyFill="1" applyAlignment="1">
      <alignment wrapText="1"/>
    </xf>
    <xf numFmtId="4" fontId="31" fillId="0" borderId="1" xfId="0" applyNumberFormat="1" applyFont="1" applyBorder="1" applyAlignment="1">
      <alignment horizontal="center" vertical="center" wrapText="1"/>
    </xf>
    <xf numFmtId="4" fontId="29" fillId="12" borderId="1" xfId="0" applyNumberFormat="1" applyFont="1" applyFill="1" applyBorder="1" applyAlignment="1">
      <alignment horizontal="center" vertical="center" wrapText="1"/>
    </xf>
    <xf numFmtId="4" fontId="29" fillId="0" borderId="1" xfId="0" applyNumberFormat="1" applyFont="1" applyBorder="1" applyAlignment="1"/>
    <xf numFmtId="4" fontId="29" fillId="0" borderId="1" xfId="0" applyNumberFormat="1" applyFont="1" applyBorder="1" applyAlignment="1">
      <alignment wrapText="1"/>
    </xf>
    <xf numFmtId="4" fontId="29" fillId="0" borderId="1" xfId="0" applyNumberFormat="1" applyFont="1" applyBorder="1" applyAlignment="1">
      <alignment horizontal="center" vertical="center"/>
    </xf>
    <xf numFmtId="4" fontId="29" fillId="12" borderId="1" xfId="0" applyNumberFormat="1" applyFont="1" applyFill="1" applyBorder="1" applyAlignment="1">
      <alignment wrapText="1"/>
    </xf>
    <xf numFmtId="4" fontId="35" fillId="0" borderId="1" xfId="0" applyNumberFormat="1" applyFont="1" applyBorder="1" applyAlignment="1">
      <alignment wrapText="1"/>
    </xf>
    <xf numFmtId="49" fontId="29" fillId="12" borderId="1" xfId="0" applyNumberFormat="1" applyFont="1" applyFill="1" applyBorder="1" applyAlignment="1">
      <alignment wrapText="1"/>
    </xf>
    <xf numFmtId="4" fontId="97" fillId="0" borderId="1" xfId="0" applyNumberFormat="1" applyFont="1" applyBorder="1" applyAlignment="1">
      <alignment wrapText="1"/>
    </xf>
    <xf numFmtId="49" fontId="47" fillId="0" borderId="0" xfId="0" applyNumberFormat="1" applyFont="1" applyBorder="1" applyAlignment="1">
      <alignment horizontal="center" vertical="center"/>
    </xf>
    <xf numFmtId="0" fontId="99" fillId="0" borderId="0" xfId="0" applyFont="1"/>
    <xf numFmtId="49" fontId="100" fillId="0" borderId="1" xfId="0" applyNumberFormat="1" applyFont="1" applyBorder="1" applyAlignment="1">
      <alignment horizontal="center" vertical="center" wrapText="1"/>
    </xf>
    <xf numFmtId="0" fontId="100" fillId="0" borderId="1" xfId="0" applyFont="1" applyBorder="1" applyAlignment="1">
      <alignment horizontal="center" vertical="center"/>
    </xf>
    <xf numFmtId="0" fontId="100" fillId="0" borderId="1" xfId="0" applyFont="1" applyBorder="1" applyAlignment="1">
      <alignment horizontal="center" vertical="center" wrapText="1"/>
    </xf>
    <xf numFmtId="4" fontId="101" fillId="0" borderId="1" xfId="0" applyNumberFormat="1" applyFont="1" applyBorder="1" applyAlignment="1">
      <alignment horizontal="center" vertical="center"/>
    </xf>
    <xf numFmtId="0" fontId="102" fillId="0" borderId="1" xfId="0" applyFont="1" applyBorder="1" applyAlignment="1">
      <alignment horizontal="center" vertical="center" wrapText="1"/>
    </xf>
    <xf numFmtId="4" fontId="29" fillId="0" borderId="1" xfId="0" applyNumberFormat="1" applyFont="1" applyFill="1" applyBorder="1" applyAlignment="1">
      <alignment horizontal="center" vertical="center"/>
    </xf>
    <xf numFmtId="4" fontId="28" fillId="0" borderId="0" xfId="0" applyNumberFormat="1" applyFont="1" applyBorder="1" applyAlignment="1">
      <alignment horizontal="center" vertical="center"/>
    </xf>
    <xf numFmtId="4" fontId="30" fillId="0" borderId="0" xfId="0" applyNumberFormat="1" applyFont="1" applyBorder="1" applyAlignment="1">
      <alignment horizontal="center" vertical="center"/>
    </xf>
    <xf numFmtId="4" fontId="31" fillId="0" borderId="1" xfId="0" applyNumberFormat="1" applyFont="1" applyBorder="1" applyAlignment="1">
      <alignment horizontal="center" vertical="center" wrapText="1"/>
    </xf>
    <xf numFmtId="4" fontId="29" fillId="0" borderId="1" xfId="0" applyNumberFormat="1" applyFont="1" applyBorder="1" applyAlignment="1">
      <alignment wrapText="1"/>
    </xf>
    <xf numFmtId="4" fontId="31" fillId="12" borderId="1" xfId="0" applyNumberFormat="1" applyFont="1" applyFill="1" applyBorder="1" applyAlignment="1">
      <alignment horizontal="center" vertical="center" wrapText="1"/>
    </xf>
    <xf numFmtId="4" fontId="29" fillId="12" borderId="1" xfId="0" applyNumberFormat="1" applyFont="1" applyFill="1" applyBorder="1" applyAlignment="1">
      <alignment wrapText="1"/>
    </xf>
    <xf numFmtId="4" fontId="33" fillId="0" borderId="1" xfId="0" applyNumberFormat="1" applyFont="1" applyBorder="1" applyAlignment="1">
      <alignment horizontal="center" vertical="center" wrapText="1"/>
    </xf>
    <xf numFmtId="4" fontId="35" fillId="0" borderId="1" xfId="0" applyNumberFormat="1" applyFont="1" applyBorder="1" applyAlignment="1">
      <alignment wrapText="1"/>
    </xf>
    <xf numFmtId="4" fontId="29" fillId="0" borderId="1" xfId="0" applyNumberFormat="1" applyFont="1" applyBorder="1" applyAlignment="1">
      <alignment horizontal="center" vertical="center" wrapText="1"/>
    </xf>
    <xf numFmtId="49" fontId="31" fillId="12" borderId="1" xfId="0" applyNumberFormat="1" applyFont="1" applyFill="1" applyBorder="1" applyAlignment="1">
      <alignment horizontal="center" vertical="center" wrapText="1"/>
    </xf>
    <xf numFmtId="49" fontId="29" fillId="12" borderId="1" xfId="0" applyNumberFormat="1" applyFont="1" applyFill="1" applyBorder="1" applyAlignment="1">
      <alignment wrapText="1"/>
    </xf>
    <xf numFmtId="4" fontId="29" fillId="0" borderId="0" xfId="0" quotePrefix="1" applyNumberFormat="1" applyFont="1" applyAlignment="1">
      <alignment horizontal="left" wrapText="1"/>
    </xf>
    <xf numFmtId="4" fontId="42" fillId="0" borderId="6" xfId="0" applyNumberFormat="1" applyFont="1" applyBorder="1" applyAlignment="1">
      <alignment horizontal="left" wrapText="1"/>
    </xf>
    <xf numFmtId="4" fontId="42" fillId="0" borderId="7" xfId="0" applyNumberFormat="1" applyFont="1" applyBorder="1" applyAlignment="1">
      <alignment horizontal="left" wrapText="1"/>
    </xf>
    <xf numFmtId="4" fontId="42" fillId="0" borderId="8" xfId="0" applyNumberFormat="1" applyFont="1" applyBorder="1" applyAlignment="1">
      <alignment horizontal="left" wrapText="1"/>
    </xf>
    <xf numFmtId="4" fontId="34" fillId="0" borderId="1" xfId="0" applyNumberFormat="1" applyFont="1" applyBorder="1" applyAlignment="1">
      <alignment horizontal="center" vertical="center"/>
    </xf>
    <xf numFmtId="4" fontId="29" fillId="0" borderId="0" xfId="0" applyNumberFormat="1" applyFont="1" applyAlignment="1">
      <alignment horizontal="left" wrapText="1"/>
    </xf>
    <xf numFmtId="4" fontId="29" fillId="0" borderId="0" xfId="0" quotePrefix="1" applyNumberFormat="1" applyFont="1" applyFill="1" applyAlignment="1">
      <alignment horizontal="left" wrapText="1"/>
    </xf>
    <xf numFmtId="4" fontId="33" fillId="13" borderId="2" xfId="0" applyNumberFormat="1" applyFont="1" applyFill="1" applyBorder="1" applyAlignment="1">
      <alignment horizontal="left" wrapText="1"/>
    </xf>
    <xf numFmtId="4" fontId="33" fillId="13" borderId="4" xfId="0" applyNumberFormat="1" applyFont="1" applyFill="1" applyBorder="1" applyAlignment="1">
      <alignment horizontal="left" wrapText="1"/>
    </xf>
    <xf numFmtId="4" fontId="33" fillId="13" borderId="5" xfId="0" applyNumberFormat="1" applyFont="1" applyFill="1" applyBorder="1" applyAlignment="1">
      <alignment horizontal="left" wrapText="1"/>
    </xf>
    <xf numFmtId="4" fontId="31" fillId="0" borderId="1" xfId="0" applyNumberFormat="1" applyFont="1" applyBorder="1" applyAlignment="1">
      <alignment horizontal="center" vertical="center"/>
    </xf>
    <xf numFmtId="4" fontId="29" fillId="0" borderId="1" xfId="0" applyNumberFormat="1" applyFont="1" applyBorder="1" applyAlignment="1"/>
    <xf numFmtId="4" fontId="41" fillId="0" borderId="0" xfId="0" applyNumberFormat="1" applyFont="1" applyBorder="1" applyAlignment="1">
      <alignment horizontal="left" vertical="center"/>
    </xf>
    <xf numFmtId="4" fontId="29" fillId="0" borderId="0" xfId="0" quotePrefix="1" applyNumberFormat="1" applyFont="1" applyBorder="1" applyAlignment="1">
      <alignment horizontal="left" vertical="center"/>
    </xf>
    <xf numFmtId="4" fontId="29" fillId="0" borderId="0" xfId="0" applyNumberFormat="1" applyFont="1" applyBorder="1" applyAlignment="1"/>
    <xf numFmtId="4" fontId="29" fillId="12" borderId="1" xfId="0" applyNumberFormat="1" applyFont="1" applyFill="1" applyBorder="1" applyAlignment="1">
      <alignment horizontal="center" vertical="center" wrapText="1"/>
    </xf>
    <xf numFmtId="4" fontId="29" fillId="0" borderId="1" xfId="0" applyNumberFormat="1" applyFont="1" applyBorder="1" applyAlignment="1">
      <alignment horizontal="center" vertical="center"/>
    </xf>
    <xf numFmtId="4" fontId="33" fillId="0" borderId="2" xfId="0" applyNumberFormat="1" applyFont="1" applyBorder="1" applyAlignment="1">
      <alignment horizontal="left" wrapText="1"/>
    </xf>
    <xf numFmtId="4" fontId="33" fillId="0" borderId="4" xfId="0" applyNumberFormat="1" applyFont="1" applyBorder="1" applyAlignment="1">
      <alignment horizontal="left" wrapText="1"/>
    </xf>
    <xf numFmtId="4" fontId="33" fillId="0" borderId="5" xfId="0" applyNumberFormat="1" applyFont="1" applyBorder="1" applyAlignment="1">
      <alignment horizontal="left" wrapText="1"/>
    </xf>
    <xf numFmtId="4" fontId="42" fillId="0" borderId="2" xfId="0" applyNumberFormat="1" applyFont="1" applyBorder="1" applyAlignment="1">
      <alignment horizontal="left" wrapText="1"/>
    </xf>
    <xf numFmtId="4" fontId="42" fillId="0" borderId="4" xfId="0" applyNumberFormat="1" applyFont="1" applyBorder="1" applyAlignment="1">
      <alignment horizontal="left" wrapText="1"/>
    </xf>
    <xf numFmtId="4" fontId="42" fillId="0" borderId="5" xfId="0" applyNumberFormat="1" applyFont="1" applyBorder="1" applyAlignment="1">
      <alignment horizontal="left" wrapText="1"/>
    </xf>
    <xf numFmtId="4" fontId="43" fillId="0" borderId="2" xfId="0" applyNumberFormat="1" applyFont="1" applyBorder="1" applyAlignment="1">
      <alignment horizontal="center" wrapText="1"/>
    </xf>
    <xf numFmtId="4" fontId="0" fillId="0" borderId="5" xfId="0" applyNumberFormat="1" applyBorder="1" applyAlignment="1">
      <alignment wrapText="1"/>
    </xf>
    <xf numFmtId="4" fontId="35" fillId="0" borderId="2" xfId="0" applyNumberFormat="1" applyFont="1" applyBorder="1" applyAlignment="1">
      <alignment horizontal="left" wrapText="1"/>
    </xf>
    <xf numFmtId="4" fontId="35" fillId="0" borderId="4" xfId="0" applyNumberFormat="1" applyFont="1" applyBorder="1" applyAlignment="1">
      <alignment horizontal="left" wrapText="1"/>
    </xf>
    <xf numFmtId="4" fontId="35" fillId="0" borderId="5" xfId="0" applyNumberFormat="1" applyFont="1" applyBorder="1" applyAlignment="1">
      <alignment horizontal="left" wrapText="1"/>
    </xf>
    <xf numFmtId="4" fontId="35" fillId="0" borderId="0" xfId="0" applyNumberFormat="1" applyFont="1" applyBorder="1" applyAlignment="1">
      <alignment horizontal="left" vertical="top" wrapText="1"/>
    </xf>
    <xf numFmtId="0" fontId="0" fillId="22" borderId="0" xfId="0" applyFill="1" applyAlignment="1">
      <alignment wrapText="1"/>
    </xf>
    <xf numFmtId="0" fontId="0" fillId="22" borderId="9" xfId="0" applyFill="1" applyBorder="1" applyAlignment="1"/>
    <xf numFmtId="0" fontId="0" fillId="22" borderId="0" xfId="0" applyFill="1" applyAlignment="1"/>
    <xf numFmtId="4" fontId="29" fillId="2" borderId="0" xfId="0" quotePrefix="1" applyNumberFormat="1" applyFont="1" applyFill="1" applyAlignment="1">
      <alignment horizontal="left" wrapText="1"/>
    </xf>
    <xf numFmtId="4" fontId="42" fillId="2" borderId="6" xfId="0" applyNumberFormat="1" applyFont="1" applyFill="1" applyBorder="1" applyAlignment="1">
      <alignment horizontal="left" wrapText="1"/>
    </xf>
    <xf numFmtId="4" fontId="42" fillId="2" borderId="7" xfId="0" applyNumberFormat="1" applyFont="1" applyFill="1" applyBorder="1" applyAlignment="1">
      <alignment horizontal="left" wrapText="1"/>
    </xf>
    <xf numFmtId="4" fontId="42" fillId="2" borderId="8" xfId="0" applyNumberFormat="1" applyFont="1" applyFill="1" applyBorder="1" applyAlignment="1">
      <alignment horizontal="left" wrapText="1"/>
    </xf>
    <xf numFmtId="4" fontId="29" fillId="2" borderId="0" xfId="0" applyNumberFormat="1" applyFont="1" applyFill="1" applyAlignment="1">
      <alignment horizontal="left" wrapText="1"/>
    </xf>
    <xf numFmtId="4" fontId="33" fillId="2" borderId="2" xfId="0" applyNumberFormat="1" applyFont="1" applyFill="1" applyBorder="1" applyAlignment="1">
      <alignment horizontal="left" wrapText="1"/>
    </xf>
    <xf numFmtId="4" fontId="33" fillId="2" borderId="4" xfId="0" applyNumberFormat="1" applyFont="1" applyFill="1" applyBorder="1" applyAlignment="1">
      <alignment horizontal="left" wrapText="1"/>
    </xf>
    <xf numFmtId="4" fontId="33" fillId="2" borderId="5" xfId="0" applyNumberFormat="1" applyFont="1" applyFill="1" applyBorder="1" applyAlignment="1">
      <alignment horizontal="left" wrapText="1"/>
    </xf>
    <xf numFmtId="4" fontId="41" fillId="2" borderId="0" xfId="0" applyNumberFormat="1" applyFont="1" applyFill="1" applyBorder="1" applyAlignment="1">
      <alignment horizontal="left" vertical="center"/>
    </xf>
    <xf numFmtId="4" fontId="29" fillId="2" borderId="0" xfId="0" quotePrefix="1" applyNumberFormat="1" applyFont="1" applyFill="1" applyBorder="1" applyAlignment="1">
      <alignment horizontal="left" vertical="center"/>
    </xf>
    <xf numFmtId="4" fontId="29" fillId="2" borderId="0" xfId="0" applyNumberFormat="1" applyFont="1" applyFill="1" applyBorder="1" applyAlignment="1"/>
    <xf numFmtId="4" fontId="42" fillId="2" borderId="2" xfId="0" applyNumberFormat="1" applyFont="1" applyFill="1" applyBorder="1" applyAlignment="1">
      <alignment horizontal="left" wrapText="1"/>
    </xf>
    <xf numFmtId="4" fontId="42" fillId="2" borderId="4" xfId="0" applyNumberFormat="1" applyFont="1" applyFill="1" applyBorder="1" applyAlignment="1">
      <alignment horizontal="left" wrapText="1"/>
    </xf>
    <xf numFmtId="4" fontId="42" fillId="2" borderId="5" xfId="0" applyNumberFormat="1" applyFont="1" applyFill="1" applyBorder="1" applyAlignment="1">
      <alignment horizontal="left" wrapText="1"/>
    </xf>
    <xf numFmtId="4" fontId="43" fillId="2" borderId="2" xfId="0" applyNumberFormat="1" applyFont="1" applyFill="1" applyBorder="1" applyAlignment="1">
      <alignment horizontal="center" wrapText="1"/>
    </xf>
    <xf numFmtId="4" fontId="0" fillId="2" borderId="5" xfId="0" applyNumberFormat="1" applyFill="1" applyBorder="1" applyAlignment="1">
      <alignment wrapText="1"/>
    </xf>
    <xf numFmtId="4" fontId="35" fillId="2" borderId="2" xfId="0" applyNumberFormat="1" applyFont="1" applyFill="1" applyBorder="1" applyAlignment="1">
      <alignment horizontal="left" wrapText="1"/>
    </xf>
    <xf numFmtId="4" fontId="35" fillId="2" borderId="4" xfId="0" applyNumberFormat="1" applyFont="1" applyFill="1" applyBorder="1" applyAlignment="1">
      <alignment horizontal="left" wrapText="1"/>
    </xf>
    <xf numFmtId="4" fontId="35" fillId="2" borderId="5" xfId="0" applyNumberFormat="1" applyFont="1" applyFill="1" applyBorder="1" applyAlignment="1">
      <alignment horizontal="left" wrapText="1"/>
    </xf>
    <xf numFmtId="4" fontId="35" fillId="2" borderId="0" xfId="0" applyNumberFormat="1" applyFont="1" applyFill="1" applyBorder="1" applyAlignment="1">
      <alignment horizontal="left" vertical="top" wrapText="1"/>
    </xf>
    <xf numFmtId="4" fontId="55" fillId="0" borderId="0" xfId="0" applyNumberFormat="1" applyFont="1" applyBorder="1" applyAlignment="1">
      <alignment horizontal="center" vertical="center"/>
    </xf>
    <xf numFmtId="4" fontId="56" fillId="0" borderId="0" xfId="0" applyNumberFormat="1" applyFont="1" applyBorder="1" applyAlignment="1">
      <alignment horizontal="center" vertical="center"/>
    </xf>
    <xf numFmtId="4" fontId="35" fillId="0" borderId="0" xfId="0" applyNumberFormat="1" applyFont="1" applyBorder="1" applyAlignment="1"/>
    <xf numFmtId="4" fontId="57" fillId="0" borderId="0" xfId="0" applyNumberFormat="1" applyFont="1" applyBorder="1" applyAlignment="1">
      <alignment horizontal="center" vertical="center"/>
    </xf>
    <xf numFmtId="4" fontId="58" fillId="0" borderId="10" xfId="0" applyNumberFormat="1" applyFont="1" applyBorder="1" applyAlignment="1">
      <alignment horizontal="center" vertical="center" wrapText="1"/>
    </xf>
    <xf numFmtId="4" fontId="61" fillId="0" borderId="11" xfId="0" applyNumberFormat="1" applyFont="1" applyBorder="1" applyAlignment="1">
      <alignment horizontal="center" vertical="center" wrapText="1"/>
    </xf>
    <xf numFmtId="4" fontId="61" fillId="0" borderId="3" xfId="0" applyNumberFormat="1" applyFont="1" applyBorder="1" applyAlignment="1">
      <alignment horizontal="center" vertical="center" wrapText="1"/>
    </xf>
    <xf numFmtId="4" fontId="58" fillId="0" borderId="1" xfId="0" applyNumberFormat="1" applyFont="1" applyBorder="1" applyAlignment="1">
      <alignment horizontal="center" vertical="center"/>
    </xf>
    <xf numFmtId="4" fontId="61" fillId="0" borderId="1" xfId="0" applyNumberFormat="1" applyFont="1" applyBorder="1" applyAlignment="1"/>
    <xf numFmtId="4" fontId="58" fillId="0" borderId="1" xfId="0" applyNumberFormat="1" applyFont="1" applyBorder="1" applyAlignment="1">
      <alignment horizontal="center" vertical="center" wrapText="1"/>
    </xf>
    <xf numFmtId="4" fontId="61" fillId="0" borderId="1" xfId="0" applyNumberFormat="1" applyFont="1" applyBorder="1" applyAlignment="1">
      <alignment wrapText="1"/>
    </xf>
    <xf numFmtId="4" fontId="59" fillId="0" borderId="1" xfId="0" applyNumberFormat="1" applyFont="1" applyBorder="1" applyAlignment="1">
      <alignment horizontal="center" vertical="center" wrapText="1"/>
    </xf>
    <xf numFmtId="4" fontId="62" fillId="0" borderId="1" xfId="0" applyNumberFormat="1" applyFont="1" applyBorder="1" applyAlignment="1">
      <alignment wrapText="1"/>
    </xf>
    <xf numFmtId="4" fontId="60" fillId="0" borderId="1" xfId="0" applyNumberFormat="1" applyFont="1" applyBorder="1" applyAlignment="1">
      <alignment horizontal="center" vertical="center"/>
    </xf>
    <xf numFmtId="4" fontId="63" fillId="0" borderId="1" xfId="0" applyNumberFormat="1" applyFont="1" applyBorder="1" applyAlignment="1"/>
    <xf numFmtId="4" fontId="35" fillId="2" borderId="0" xfId="0" applyNumberFormat="1" applyFont="1" applyFill="1" applyAlignment="1">
      <alignment horizontal="left" wrapText="1"/>
    </xf>
    <xf numFmtId="0" fontId="33" fillId="0" borderId="1" xfId="0" applyFont="1" applyBorder="1" applyAlignment="1">
      <alignment horizontal="center" vertical="center" wrapText="1"/>
    </xf>
    <xf numFmtId="4" fontId="35" fillId="2" borderId="0" xfId="0" quotePrefix="1" applyNumberFormat="1" applyFont="1" applyFill="1" applyAlignment="1">
      <alignment horizontal="left" wrapText="1"/>
    </xf>
  </cellXfs>
  <cellStyles count="2">
    <cellStyle name="Normale" xfId="0" builtinId="0"/>
    <cellStyle name="Valuta" xfId="1" builtinId="4"/>
  </cellStyles>
  <dxfs count="0"/>
  <tableStyles count="0" defaultTableStyle="TableStyleMedium2" defaultPivotStyle="PivotStyleLight16"/>
  <colors>
    <mruColors>
      <color rgb="FFFFFFCC"/>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donati/AppData/Local/Microsoft/Windows/INetCache/Content.Outlook/08CTJX2I/01%20MIK%20-%20BUDGET%202022-23-24%20MOBILITY+TRIBUTI+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SEMPL. PREV.22-23-24"/>
      <sheetName val=" PREV.22-23-24"/>
      <sheetName val="terrecablate 2021 sp.telef."/>
      <sheetName val="ammort.2022-23-24"/>
      <sheetName val=" invest-costi fabiani 22-23-24"/>
      <sheetName val="previsione SMS 22-23-24"/>
      <sheetName val="previsioni ricavi 22-23-24"/>
      <sheetName val="note budget 2022"/>
      <sheetName val="2021-20-2019"/>
      <sheetName val="ASSICURAZIONI"/>
      <sheetName val="64,05,100 ABBUONI E ARROTOND.IM"/>
      <sheetName val="64,05,501 prov.pubbl"/>
      <sheetName val="64,05,502 soprav.attive"/>
      <sheetName val="64,05,503 proventi vari"/>
      <sheetName val="64,05,504 plusvalenze cess.beni"/>
      <sheetName val="64,05,507 soprav.att.cau"/>
      <sheetName val="64,05,508 soprav.att.parcometri"/>
      <sheetName val="64,05,510 sopr.att.fondo rischi"/>
      <sheetName val="64,05,512 soprav.attive indeduc"/>
      <sheetName val="6405514SOPRAV.ATT.STORN.P.F.M."/>
      <sheetName val="64,05,515 CRED.IMP.SUP.SP"/>
      <sheetName val="65,05,518 SOPRAVV.DA RIMBORSI"/>
      <sheetName val="64,05,519 CONTR.FO.PERDUTO"/>
      <sheetName val="64,05,520 SOPRAV. ATT. FAGIOLON"/>
      <sheetName val="64,05,517 CRED.IMP.INV.PUBBL.20"/>
      <sheetName val="64,05,522 CRED.PROV.SUPERAM.21"/>
      <sheetName val="64,05,701 abbuon.arrot.at.tribu"/>
      <sheetName val="64,05,702 CRED.IMP.SUP.TRIB."/>
      <sheetName val="64,05,703 ALTR. PROV.RIMB.COMUN"/>
      <sheetName val="66,05,501 cancell.e stampati"/>
      <sheetName val="66,05,504 acq.beni cost.inf.mil"/>
      <sheetName val="66,05,505 prodotti consumo"/>
      <sheetName val="66,05,506 biglietti parcheg."/>
      <sheetName val="66,05,507 dispositivi covid"/>
      <sheetName val="66,05,701 cancel e stamp TRIBUT"/>
      <sheetName val="66,05,702 ACQ.BENI&lt;MIL.TRIBUTI"/>
      <sheetName val="66,05,705 PRODOTTI DI CONS.TRIB"/>
      <sheetName val="66,30,37 carbur. e lubrific."/>
      <sheetName val="68,05,57 manut. e rip.veicoli p"/>
      <sheetName val="68,05,501 emolum a profess.tecn"/>
      <sheetName val="68,05,502 energia elettr."/>
      <sheetName val="68,05,503 telefono"/>
      <sheetName val="68,05,504 rete telematica"/>
      <sheetName val="68,05,505 vigilanza"/>
      <sheetName val="68,05,506 viaggi e diarie"/>
      <sheetName val="68,05,508 oneri e spese bancari"/>
      <sheetName val="68,05,510 legali e notarili"/>
      <sheetName val="68,05,511 spese postali"/>
      <sheetName val="68,05,513 gas"/>
      <sheetName val="68,05,514 sp.varie document."/>
      <sheetName val="68,05,516 pubblic.reclam inserz"/>
      <sheetName val="68,05,520 sp.servizi"/>
      <sheetName val="68,05,521 acquedotto"/>
      <sheetName val="68,05,522 sp.per consulenze"/>
      <sheetName val="68,05,523 manut.aree verdi"/>
      <sheetName val="68,05,524 buoni pasto"/>
      <sheetName val="68,05,526 abbuoni e scont.passi"/>
      <sheetName val="68,05,527 sponsorizzaz."/>
      <sheetName val="68,05,528 spese per formaz."/>
      <sheetName val="68,05,529 spese serv.cau e parc"/>
      <sheetName val="68,05,531 sp.serv.acc.bus e sup"/>
      <sheetName val="68,05,532 pres,stazione"/>
      <sheetName val="68,05,533 sp.pulizia parcheggi"/>
      <sheetName val="68,05,534 sp.serv.trasp.valori"/>
      <sheetName val="68,05,535 serv.trasp.navetta"/>
      <sheetName val="68,05,536 serv.puliz.stadio"/>
      <sheetName val="68,05,537 comp.presid.cda"/>
      <sheetName val="68,05,538 comp.consig.di ammini"/>
      <sheetName val="68,05,539 comp.coll.sindac"/>
      <sheetName val="68,05,540 sp.canone unico"/>
      <sheetName val="68,05,541 oneri e sp.banc.cras"/>
      <sheetName val="68,05,542 oneri e commis.nexi"/>
      <sheetName val="68,05,543 manut.illum.emer.camp"/>
      <sheetName val="68,05,544 sp.consul.amianto"/>
      <sheetName val="68,05,545 servizio costo copia"/>
      <sheetName val="68,05,548 COMPENSO RSPP"/>
      <sheetName val="68,05,549 compenso REVISORE"/>
      <sheetName val="68,05,550 ELABORAZ.BUST.PAGA"/>
      <sheetName val="68,05,551 COMP.MEDICO COMP."/>
      <sheetName val="68,05,552 MANUT.SISTEMA INFORM."/>
      <sheetName val="68,05,553 comp.att.uff.stam.sit"/>
      <sheetName val="68,05,554 COMP.RESP.PRIVACY"/>
      <sheetName val="68,05,555 CONS.FISC.INTERM.TELE"/>
      <sheetName val="68,05,556 comp.org.vigilanza"/>
      <sheetName val="68,05,557 comp.revis.qualità au"/>
      <sheetName val="68,05,558 oneri comm.bancasella"/>
      <sheetName val="68,05,559 oneri commiss.NAYAX"/>
      <sheetName val="68,05,560 oneri commiss.paypall"/>
      <sheetName val="68,05,563 ALTRE SP.TELEFON.P"/>
      <sheetName val="68,05,564 MANUT.ANTINC.IL CAMPO"/>
      <sheetName val="68,05,565 CONTR.ASS.AUT.DESIGNA"/>
      <sheetName val="68,05,566 CONT.ASS. IM.ELETTR"/>
      <sheetName val="68,05,567 CONT.ASS. ANTINC."/>
      <sheetName val="68,05,568 CONT.ASS. PARCOMETR"/>
      <sheetName val="68,05,569 CONTR.ASSIT.SCALE MOB"/>
      <sheetName val="68,05,570 CONTR.ASS.SERVER PRIV"/>
      <sheetName val="68,05,571 cont.assit.progr.cont"/>
      <sheetName val="68,05,572 contr.assist.fast par"/>
      <sheetName val="68,05,573 contr.assis.ups"/>
      <sheetName val="68,05,574 contr.ass.videoso-all"/>
      <sheetName val="68,05,575 contr.assis.contabanc"/>
      <sheetName val="68,05,576 cont.assis.Maggioli"/>
      <sheetName val="68,05,577 man.extr.antincendio"/>
      <sheetName val="68,05,578 man.exrtra imp.elettr"/>
      <sheetName val="68,05,579 man.inter.parcom.parc"/>
      <sheetName val="68,05,580 man.extra fast park"/>
      <sheetName val="68,05,581 manut.cert.risal.asce"/>
      <sheetName val="68,05,584 manut.paviment.strad."/>
      <sheetName val="68,05,587 contr.assist.d-pass"/>
      <sheetName val="68,05,589 comp.direz.antinc.cam"/>
      <sheetName val="68,05,591 comp.illumin.5 parch."/>
      <sheetName val="68,05,592 contr.ass.serv.aci"/>
      <sheetName val="68,05,619 CONTR.ASSI.SITO WEB "/>
      <sheetName val="68,05,620 contr.ass.appar.lan"/>
      <sheetName val="68,05,621 CONTR.ASS.OCCUPAZ."/>
      <sheetName val="68,05,622 MANUT.EDILI"/>
      <sheetName val="68,05,623 MANUT.CARPENTERIA"/>
      <sheetName val="68,05,624 MANUT,ATT,VANDAL."/>
      <sheetName val="68,05,625 manutenz.att.vand.ztl"/>
      <sheetName val="68,05,626 manut.gest.per.ztl"/>
      <sheetName val="68,05,627 manut.segn.stradale"/>
      <sheetName val="68,05,628 rimb.pie'di lista"/>
      <sheetName val="68,05,629 spese serv.sanificaz."/>
      <sheetName val="68,05,630 manut.ill.5parcheggi"/>
      <sheetName val="68,05,631 legali e not.extra"/>
      <sheetName val="68,05,632 VISITE MED.OBBL.DIP"/>
      <sheetName val="68,05,633 servizi derattizz."/>
      <sheetName val="68,05,634 CANONE SUITE LOG PRIV"/>
      <sheetName val="68.05.635 CANONE LICENZA TEAMWI"/>
      <sheetName val="68,05,636 CANONE GUACAM.SMART "/>
      <sheetName val="68,05,638 CONTR. ASSIST.SISMIC"/>
      <sheetName val="68,05,701 energ.elett.fontebran"/>
      <sheetName val="68,05,702 manut.e ripar.fontebr"/>
      <sheetName val="68,05,703 rimb.distacc.comu.sie"/>
      <sheetName val="68,05,705 vigilanza tributi"/>
      <sheetName val="68,05,706 spese notif.accert"/>
      <sheetName val="68,05,707 commis.sdd mps"/>
      <sheetName val="68,05,708 servizi vari tributi"/>
      <sheetName val="68,05,709 SP.SERV.PEC MASSIVE"/>
      <sheetName val="68,05,710 legali notari.tributi"/>
      <sheetName val="68,05,720 spese serv.imu tribut"/>
      <sheetName val="68,05,722 spese consul.tributi"/>
      <sheetName val="68,05,724 b.pasto tributi"/>
      <sheetName val="68,05,728 spe.formaz.tributi"/>
      <sheetName val="68,05,729 serv.sanif.uff.tribut"/>
      <sheetName val="68,05,730 spes.condomin.fontebr"/>
      <sheetName val="68,05,733 serv.pulizia fontebra"/>
      <sheetName val="68,05,737 comp.pres.cda tribut"/>
      <sheetName val="68,05,738 comp.cda tributi"/>
      <sheetName val="68,05,739 comp.coll.sind.trib."/>
      <sheetName val="68,05,748 com.RSPP tributi"/>
      <sheetName val="68,05,749 comp. rev.conti trib"/>
      <sheetName val="68,05,750 cont.climatiz.tributi"/>
      <sheetName val="68,05,751serv.postal.hub"/>
      <sheetName val="68,05,752 serv.a support.LDP"/>
      <sheetName val="68,05,753 serv.support.c.studi"/>
      <sheetName val="68,05,754 elab.buste paga tribu"/>
      <sheetName val="68,05,755 comp.med.compe.tri"/>
      <sheetName val="68,05,756 comp.resp.privacy tri"/>
      <sheetName val="68,05,757 cons.fisc.telem.trib."/>
      <sheetName val="68,05758 comp.organ.vig.trib."/>
      <sheetName val="68,05,759 comp.rev.qualità trib"/>
      <sheetName val="68,05,760 contr.prog.contab.tri"/>
      <sheetName val="68,05,761 contr.all.centr.trib"/>
      <sheetName val="68,05,762 contr.ass. maggioli t"/>
      <sheetName val="68,05,763 contr.ass.aci trib."/>
      <sheetName val="68,05,764 ass.cumul.dip. e diri"/>
      <sheetName val="68,05,765 ass.resp.civ.cda coll"/>
      <sheetName val="68,05,766 cont.ass.imp.ele.trib"/>
      <sheetName val="68,05,767 cont.assis.antinc.tri"/>
      <sheetName val="68,05,768 assic.rct-rco vs.ter."/>
      <sheetName val="68,05,769 assic.tutela leg.pen."/>
      <sheetName val="68,05,770 ass.tut.leg.impr.trib"/>
      <sheetName val="68,05,771 ass.rca auto trib."/>
      <sheetName val="68,05,772 contr.ass.sito web.ho"/>
      <sheetName val="68,05,773 contr.ass.ups tributi"/>
      <sheetName val="68,05,774 contr.ass.rete lan tr"/>
      <sheetName val="68,05,775 visit.med.obb.dip."/>
      <sheetName val="68,05,776 can.suite privacy tr."/>
      <sheetName val="68,05,777 man.extra cont.antinc"/>
      <sheetName val="68,05,778 man.rete dati tributi"/>
      <sheetName val="68,05,779 comp.e consul.tributi"/>
      <sheetName val="68,05,780 supp.est.sturtup trib"/>
      <sheetName val="68,05,781 sp.promoz.e protoc.tr"/>
      <sheetName val="68,05,782 MAN.EX.CON.IM.EL.TRIB"/>
      <sheetName val="68,05,783 CONTR.ASS.TELEMACO"/>
      <sheetName val="68,05,784 MANUT.EXTRA CARPEN.TR"/>
      <sheetName val="68,05,785 CONTR.ASS.ALLAR-TELE."/>
      <sheetName val="68,05,786 man.extr.climatiz.tri"/>
      <sheetName val="68,05,787 sp.varie docum.tribut"/>
      <sheetName val="68,05,788 spese postali tributi"/>
      <sheetName val="68,05,789 SP.SERVIZIO C.COPIA T"/>
      <sheetName val="68,05,790 SERVIZI INIPEC INFOCA"/>
      <sheetName val="68,05,791 serv.not.atti.giud.TR"/>
      <sheetName val="68,05,792 ABB.INFOCERT FIRM.DIG"/>
      <sheetName val="68,05,793 serv.sped.nexive"/>
      <sheetName val="68,05,794 contr.ass.municipia"/>
      <sheetName val="68,05,795 serv.a supp.municipia"/>
      <sheetName val="68,05,796 contr.ass.connectis"/>
      <sheetName val="68,05,797 serv.supp.connectis"/>
      <sheetName val="68,05,798 serv.supp.risko"/>
      <sheetName val="68,05,799 CANONE TRIEN.CONTENZI"/>
      <sheetName val="70,05,501 noleggio fotopiatrici"/>
      <sheetName val="70,05,503 nol.suite.log.privacy"/>
      <sheetName val="70,05,504 nol.licen.teamwiever"/>
      <sheetName val="70,05,505 nol.prog.silog.SmartW"/>
      <sheetName val="70,05,701 affit.pass.imm.fonteb"/>
      <sheetName val="70,05,702 noleg.pc+assit.tribut"/>
      <sheetName val="70,05,703 noleg.pr.smart wor.tr"/>
      <sheetName val="70,05,704 noleg.stampa.tributi"/>
      <sheetName val="70,05,705 nol.licenza ufirst"/>
      <sheetName val="70,05,706 sist.nolegg.silog"/>
      <sheetName val="70,05,707 AFFITTO POSTI FONTEB."/>
      <sheetName val="72,05,010 salari e stip.2022"/>
      <sheetName val="72,05,010 salari e stip.2023"/>
      <sheetName val="72,05,010 salari e stip.2024"/>
      <sheetName val="72,05,080 rimb.piedilista.dipen"/>
      <sheetName val="72,05,701 salari tributi 2022"/>
      <sheetName val="72,05,701 salari tributi 2023"/>
      <sheetName val="72,05,701 salari tributi 2024"/>
      <sheetName val="72,15,005 oneri socia.inps"/>
      <sheetName val="72,15,025 oner.soc.inail"/>
      <sheetName val="72,15,593 altri on.soc.dip.te.i"/>
      <sheetName val="72,15,705 oner.soc.inps att.tri"/>
      <sheetName val="72,15,725 on.soc.inail tributi"/>
      <sheetName val="72,15,0793 ATRI ON.SOCI DIP.TEM"/>
      <sheetName val="72,20,005 TFR"/>
      <sheetName val="72,20,701 TFR TRIBUTI"/>
      <sheetName val="72,25,005 acc.fdo.trat.quies."/>
      <sheetName val="72,25,010 tratt.prev.integ.tIND"/>
      <sheetName val="72,25,0510 CONTRI.PREV.INTEGRAZ"/>
      <sheetName val="72,25,705 acc.fdo.trat.quie.TR"/>
      <sheetName val="72,25,0710 CONT.PREV.INTEG.AZ.D"/>
      <sheetName val="83,05,501 ACC. CICLICHE"/>
      <sheetName val="84,05,005 IMP DI BOLLO"/>
      <sheetName val="84,05,20 IMPOSTA REGISTRO"/>
      <sheetName val="84,05,70  diritto camerale"/>
      <sheetName val="84,05,90 altre imp. e tasse ind"/>
      <sheetName val="84,05,100 imposte e tass.inded"/>
      <sheetName val="84,05,501 tasse di prop.20"/>
      <sheetName val="84,05,502 parz.ded."/>
      <sheetName val="84,05,503 imp.di bollo"/>
      <sheetName val="84,05,504 tass.vid.lib.soc"/>
      <sheetName val="84,05,505 IMPOSTA COM.IMU"/>
      <sheetName val="84,05,705 IMPOSTA DI BOLLO TRIB"/>
      <sheetName val="84,05,720 IMPOSTA DI REGIST.TRI"/>
      <sheetName val="84,05,721 TASS.ISCRIZ.ALBO AVV."/>
      <sheetName val="84,10,005 PERDITE SU CREDITI"/>
      <sheetName val="84,10,15 abbon.giornali riviste"/>
      <sheetName val="84,10,40 minisval.ordinar. imp."/>
      <sheetName val="84,10,55 SOPRAV.PASS.INDED"/>
      <sheetName val="84,10,0090 abbuon.arrotnd. pass"/>
      <sheetName val="84,10,501 SOPRA.CAU"/>
      <sheetName val="84,10,502 SOPRAV.PARCOM."/>
      <sheetName val="84,10,503 SOPRAV.PASSIVE"/>
      <sheetName val="84,10,504 QUOTE ASSOC."/>
      <sheetName val="84,10,505 VALORI BOLL"/>
      <sheetName val="84,10,506 NETTEZZ.URB"/>
      <sheetName val="84,10,507 CERTIF.VARIE"/>
      <sheetName val="84,10,508 VISUR.RECUP.CRED."/>
      <sheetName val="84,10,513 sopr.pass.rimb.cau"/>
      <sheetName val="84,10,514 sopr.pass.rimb.parcom"/>
      <sheetName val="84,10,515 sopr.pass.rimb.vari"/>
      <sheetName val="84,10,701 abbuon.pass.tributi"/>
      <sheetName val="84,10,703 SOPRAVV.PASS.TRIBUTI"/>
      <sheetName val="84,10,705 VALORI BOLL.TRIBUTI"/>
      <sheetName val="84,10,706 TARI -NETTEZZ.URB.TRI"/>
      <sheetName val="84,10,715 ABBON.RIV.GIORNALI TR"/>
      <sheetName val="87,20,35 int.attivi lordi"/>
      <sheetName val="87,20,501 ABB.SCONT.ATTIVI"/>
      <sheetName val="80,20,10 riman.finali"/>
      <sheetName val="88,20,15 INT.PASS. MUTUI"/>
      <sheetName val="88,20,504 INT.PASS. MUT.CRAS 21"/>
      <sheetName val="91,05,010 SVALUT.PARTEC"/>
      <sheetName val="96,10,10 IMPOSTE ANTICIPATE"/>
      <sheetName val="bil.30,6,2021-31,12,2020 sp"/>
      <sheetName val="Foglio1"/>
    </sheetNames>
    <sheetDataSet>
      <sheetData sheetId="0"/>
      <sheetData sheetId="1"/>
      <sheetData sheetId="2"/>
      <sheetData sheetId="3">
        <row r="73">
          <cell r="J73">
            <v>2374.4299999999994</v>
          </cell>
        </row>
      </sheetData>
      <sheetData sheetId="4">
        <row r="2">
          <cell r="R2">
            <v>0.2</v>
          </cell>
          <cell r="S2">
            <v>0.2</v>
          </cell>
        </row>
        <row r="4">
          <cell r="R4">
            <v>0.2</v>
          </cell>
          <cell r="S4">
            <v>0.2</v>
          </cell>
        </row>
        <row r="19">
          <cell r="G19">
            <v>72708.2</v>
          </cell>
        </row>
        <row r="21">
          <cell r="R21">
            <v>0.05</v>
          </cell>
          <cell r="S21">
            <v>0.1</v>
          </cell>
        </row>
        <row r="24">
          <cell r="R24">
            <v>1.4999999999999999E-2</v>
          </cell>
          <cell r="S24">
            <v>0.03</v>
          </cell>
        </row>
        <row r="25">
          <cell r="R25">
            <v>7.4999999999999997E-3</v>
          </cell>
          <cell r="S25">
            <v>1.4999999999999999E-2</v>
          </cell>
        </row>
        <row r="26">
          <cell r="R26">
            <v>0.02</v>
          </cell>
          <cell r="S26">
            <v>0.04</v>
          </cell>
        </row>
        <row r="27">
          <cell r="R27">
            <v>7.4999999999999997E-3</v>
          </cell>
          <cell r="S27">
            <v>1.4999999999999999E-2</v>
          </cell>
        </row>
        <row r="28">
          <cell r="R28">
            <v>8.0999999999999996E-3</v>
          </cell>
          <cell r="S28">
            <v>1.6199999999999999E-2</v>
          </cell>
        </row>
        <row r="29">
          <cell r="R29">
            <v>1.4999999999999999E-2</v>
          </cell>
          <cell r="S29">
            <v>0.03</v>
          </cell>
        </row>
        <row r="30">
          <cell r="R30">
            <v>1.4999999999999999E-2</v>
          </cell>
          <cell r="S30">
            <v>0.03</v>
          </cell>
        </row>
        <row r="32">
          <cell r="Q32">
            <v>67787.47</v>
          </cell>
          <cell r="R32">
            <v>0</v>
          </cell>
        </row>
        <row r="33">
          <cell r="R33">
            <v>7.4999999999999997E-2</v>
          </cell>
          <cell r="S33">
            <v>0.15</v>
          </cell>
        </row>
        <row r="37">
          <cell r="R37">
            <v>7.4999999999999997E-2</v>
          </cell>
          <cell r="S37">
            <v>0.15</v>
          </cell>
        </row>
        <row r="38">
          <cell r="R38">
            <v>0.125</v>
          </cell>
          <cell r="S38">
            <v>0.25</v>
          </cell>
        </row>
        <row r="42">
          <cell r="R42">
            <v>7.4999999999999997E-2</v>
          </cell>
          <cell r="S42">
            <v>0.15</v>
          </cell>
        </row>
        <row r="44">
          <cell r="R44">
            <v>7.4999999999999997E-2</v>
          </cell>
          <cell r="S44">
            <v>0.15</v>
          </cell>
        </row>
        <row r="45">
          <cell r="R45">
            <v>0.1</v>
          </cell>
          <cell r="S45">
            <v>0.2</v>
          </cell>
        </row>
        <row r="46">
          <cell r="R46">
            <v>0.1</v>
          </cell>
          <cell r="S46">
            <v>0.2</v>
          </cell>
        </row>
        <row r="47">
          <cell r="R47">
            <v>0.02</v>
          </cell>
          <cell r="S47">
            <v>0.04</v>
          </cell>
        </row>
        <row r="51">
          <cell r="R51">
            <v>0.1</v>
          </cell>
          <cell r="S51">
            <v>0.2</v>
          </cell>
        </row>
        <row r="53">
          <cell r="G53">
            <v>595895.41999999993</v>
          </cell>
        </row>
        <row r="57">
          <cell r="R57">
            <v>0</v>
          </cell>
          <cell r="S57">
            <v>0</v>
          </cell>
        </row>
        <row r="58">
          <cell r="R58">
            <v>0</v>
          </cell>
          <cell r="S58">
            <v>0</v>
          </cell>
        </row>
        <row r="59">
          <cell r="G59">
            <v>34399</v>
          </cell>
        </row>
        <row r="61">
          <cell r="R61">
            <v>0</v>
          </cell>
          <cell r="S61">
            <v>0</v>
          </cell>
        </row>
        <row r="62">
          <cell r="R62">
            <v>0</v>
          </cell>
          <cell r="S62">
            <v>0</v>
          </cell>
        </row>
        <row r="63">
          <cell r="R63">
            <v>0</v>
          </cell>
          <cell r="S63">
            <v>0</v>
          </cell>
        </row>
        <row r="64">
          <cell r="G64">
            <v>15700.34</v>
          </cell>
        </row>
        <row r="67">
          <cell r="L67">
            <v>131921.97999999998</v>
          </cell>
          <cell r="Q67">
            <v>158921.97999999998</v>
          </cell>
        </row>
        <row r="68">
          <cell r="L68">
            <v>34399</v>
          </cell>
          <cell r="Q68">
            <v>34399</v>
          </cell>
        </row>
        <row r="72">
          <cell r="L72">
            <v>486363.01</v>
          </cell>
          <cell r="Q72">
            <v>572250.48</v>
          </cell>
        </row>
        <row r="73">
          <cell r="L73">
            <v>14343</v>
          </cell>
          <cell r="Q73">
            <v>14343</v>
          </cell>
        </row>
        <row r="74">
          <cell r="L74">
            <v>398.7</v>
          </cell>
          <cell r="Q74">
            <v>398.7</v>
          </cell>
        </row>
      </sheetData>
      <sheetData sheetId="5"/>
      <sheetData sheetId="6">
        <row r="10">
          <cell r="B10">
            <v>11000</v>
          </cell>
          <cell r="E10">
            <v>11000</v>
          </cell>
          <cell r="H10">
            <v>11000</v>
          </cell>
        </row>
        <row r="13">
          <cell r="B13">
            <v>31684.26</v>
          </cell>
          <cell r="E13">
            <v>0</v>
          </cell>
          <cell r="H13">
            <v>0</v>
          </cell>
        </row>
        <row r="14">
          <cell r="B14">
            <v>31016.81</v>
          </cell>
          <cell r="E14">
            <v>0</v>
          </cell>
          <cell r="H14">
            <v>0</v>
          </cell>
        </row>
        <row r="15">
          <cell r="B15">
            <v>5000</v>
          </cell>
          <cell r="E15">
            <v>30000</v>
          </cell>
          <cell r="H15">
            <v>40000</v>
          </cell>
        </row>
        <row r="16">
          <cell r="B16">
            <v>28000</v>
          </cell>
          <cell r="E16">
            <v>40000</v>
          </cell>
          <cell r="H16">
            <v>50000</v>
          </cell>
        </row>
        <row r="17">
          <cell r="B17">
            <v>5031.68</v>
          </cell>
          <cell r="E17">
            <v>5031.68</v>
          </cell>
          <cell r="H17">
            <v>5031.68</v>
          </cell>
        </row>
        <row r="18">
          <cell r="B18">
            <v>500</v>
          </cell>
          <cell r="E18">
            <v>500</v>
          </cell>
          <cell r="H18">
            <v>500</v>
          </cell>
        </row>
        <row r="22">
          <cell r="B22">
            <v>5000</v>
          </cell>
          <cell r="E22">
            <v>5000</v>
          </cell>
          <cell r="H22">
            <v>5000</v>
          </cell>
        </row>
        <row r="23">
          <cell r="B23">
            <v>723</v>
          </cell>
          <cell r="E23">
            <v>723</v>
          </cell>
          <cell r="H23">
            <v>723</v>
          </cell>
        </row>
        <row r="26">
          <cell r="B26">
            <v>509000</v>
          </cell>
          <cell r="E26">
            <v>550000.09340659343</v>
          </cell>
          <cell r="H26">
            <v>550000.09340659343</v>
          </cell>
        </row>
        <row r="33">
          <cell r="B33">
            <v>199.35</v>
          </cell>
        </row>
        <row r="38">
          <cell r="B38">
            <v>24</v>
          </cell>
          <cell r="E38">
            <v>1524</v>
          </cell>
          <cell r="H38">
            <v>2024</v>
          </cell>
        </row>
        <row r="43">
          <cell r="B43">
            <v>611267.12328767125</v>
          </cell>
          <cell r="E43">
            <v>686500</v>
          </cell>
          <cell r="H43">
            <v>686500</v>
          </cell>
        </row>
      </sheetData>
      <sheetData sheetId="7">
        <row r="25">
          <cell r="E25">
            <v>6152487.4400000004</v>
          </cell>
          <cell r="I25">
            <v>6900000</v>
          </cell>
          <cell r="J25">
            <v>8500000</v>
          </cell>
        </row>
      </sheetData>
      <sheetData sheetId="8"/>
      <sheetData sheetId="9"/>
      <sheetData sheetId="10"/>
      <sheetData sheetId="11">
        <row r="1">
          <cell r="P1">
            <v>3.58</v>
          </cell>
        </row>
      </sheetData>
      <sheetData sheetId="12">
        <row r="1">
          <cell r="P1">
            <v>28649.61</v>
          </cell>
        </row>
      </sheetData>
      <sheetData sheetId="13"/>
      <sheetData sheetId="14">
        <row r="1">
          <cell r="P1">
            <v>24000</v>
          </cell>
        </row>
      </sheetData>
      <sheetData sheetId="15"/>
      <sheetData sheetId="16">
        <row r="1">
          <cell r="P1">
            <v>9913.4</v>
          </cell>
        </row>
      </sheetData>
      <sheetData sheetId="17">
        <row r="1">
          <cell r="P1">
            <v>2482.4</v>
          </cell>
        </row>
      </sheetData>
      <sheetData sheetId="18">
        <row r="1">
          <cell r="P1">
            <v>0</v>
          </cell>
        </row>
      </sheetData>
      <sheetData sheetId="19">
        <row r="1">
          <cell r="P1">
            <v>15000</v>
          </cell>
        </row>
      </sheetData>
      <sheetData sheetId="20">
        <row r="1">
          <cell r="P1" t="str">
            <v xml:space="preserve"> </v>
          </cell>
        </row>
      </sheetData>
      <sheetData sheetId="21"/>
      <sheetData sheetId="22"/>
      <sheetData sheetId="23">
        <row r="1">
          <cell r="P1">
            <v>0</v>
          </cell>
        </row>
      </sheetData>
      <sheetData sheetId="24">
        <row r="1">
          <cell r="P1">
            <v>900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
          <cell r="P1">
            <v>0</v>
          </cell>
        </row>
      </sheetData>
      <sheetData sheetId="61"/>
      <sheetData sheetId="62">
        <row r="1">
          <cell r="P1">
            <v>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1">
          <cell r="P1">
            <v>0</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1">
          <cell r="P1">
            <v>960</v>
          </cell>
        </row>
      </sheetData>
      <sheetData sheetId="136"/>
      <sheetData sheetId="137"/>
      <sheetData sheetId="138"/>
      <sheetData sheetId="139"/>
      <sheetData sheetId="140"/>
      <sheetData sheetId="141"/>
      <sheetData sheetId="142"/>
      <sheetData sheetId="143"/>
      <sheetData sheetId="144"/>
      <sheetData sheetId="145"/>
      <sheetData sheetId="146">
        <row r="1">
          <cell r="P1">
            <v>1600</v>
          </cell>
        </row>
      </sheetData>
      <sheetData sheetId="147"/>
      <sheetData sheetId="148">
        <row r="1">
          <cell r="P1">
            <v>0</v>
          </cell>
        </row>
      </sheetData>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ow r="1">
          <cell r="P1">
            <v>15400</v>
          </cell>
        </row>
      </sheetData>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ow r="1">
          <cell r="P1">
            <v>1800</v>
          </cell>
        </row>
      </sheetData>
      <sheetData sheetId="214">
        <row r="1">
          <cell r="P1">
            <v>827867.88916666666</v>
          </cell>
        </row>
      </sheetData>
      <sheetData sheetId="215">
        <row r="72">
          <cell r="I72">
            <v>875886.41</v>
          </cell>
        </row>
      </sheetData>
      <sheetData sheetId="216">
        <row r="72">
          <cell r="I72">
            <v>875886.41</v>
          </cell>
        </row>
      </sheetData>
      <sheetData sheetId="217"/>
      <sheetData sheetId="218">
        <row r="78">
          <cell r="I78">
            <v>750458.60249999992</v>
          </cell>
        </row>
      </sheetData>
      <sheetData sheetId="219">
        <row r="78">
          <cell r="I78">
            <v>750458.60249999992</v>
          </cell>
        </row>
      </sheetData>
      <sheetData sheetId="220">
        <row r="78">
          <cell r="I78">
            <v>750458.60249999992</v>
          </cell>
        </row>
      </sheetData>
      <sheetData sheetId="221"/>
      <sheetData sheetId="222"/>
      <sheetData sheetId="223"/>
      <sheetData sheetId="224">
        <row r="1">
          <cell r="P1">
            <v>178562.28499999995</v>
          </cell>
        </row>
      </sheetData>
      <sheetData sheetId="225">
        <row r="1">
          <cell r="P1">
            <v>2906.1800000000007</v>
          </cell>
        </row>
      </sheetData>
      <sheetData sheetId="226">
        <row r="1">
          <cell r="P1">
            <v>15641.879999999997</v>
          </cell>
        </row>
      </sheetData>
      <sheetData sheetId="227"/>
      <sheetData sheetId="228">
        <row r="1">
          <cell r="P1">
            <v>51876.94</v>
          </cell>
        </row>
      </sheetData>
      <sheetData sheetId="229"/>
      <sheetData sheetId="230"/>
      <sheetData sheetId="231"/>
      <sheetData sheetId="232">
        <row r="1">
          <cell r="P1">
            <v>13292.560000000007</v>
          </cell>
        </row>
      </sheetData>
      <sheetData sheetId="233">
        <row r="1">
          <cell r="P1">
            <v>5332.6399999999985</v>
          </cell>
        </row>
      </sheetData>
      <sheetData sheetId="234"/>
      <sheetData sheetId="235"/>
      <sheetData sheetId="236">
        <row r="1">
          <cell r="P1">
            <v>0</v>
          </cell>
        </row>
      </sheetData>
      <sheetData sheetId="237"/>
      <sheetData sheetId="238"/>
      <sheetData sheetId="239"/>
      <sheetData sheetId="240"/>
      <sheetData sheetId="241"/>
      <sheetData sheetId="242"/>
      <sheetData sheetId="243"/>
      <sheetData sheetId="244"/>
      <sheetData sheetId="245">
        <row r="1">
          <cell r="P1">
            <v>2</v>
          </cell>
        </row>
      </sheetData>
      <sheetData sheetId="246"/>
      <sheetData sheetId="247">
        <row r="1">
          <cell r="P1">
            <v>504</v>
          </cell>
        </row>
      </sheetData>
      <sheetData sheetId="248">
        <row r="1">
          <cell r="P1">
            <v>0</v>
          </cell>
        </row>
      </sheetData>
      <sheetData sheetId="249"/>
      <sheetData sheetId="250"/>
      <sheetData sheetId="251"/>
      <sheetData sheetId="252"/>
      <sheetData sheetId="253"/>
      <sheetData sheetId="254"/>
      <sheetData sheetId="255"/>
      <sheetData sheetId="256"/>
      <sheetData sheetId="257"/>
      <sheetData sheetId="258"/>
      <sheetData sheetId="259"/>
      <sheetData sheetId="260">
        <row r="1">
          <cell r="P1">
            <v>0</v>
          </cell>
        </row>
      </sheetData>
      <sheetData sheetId="261"/>
      <sheetData sheetId="262"/>
      <sheetData sheetId="263"/>
      <sheetData sheetId="264"/>
      <sheetData sheetId="265">
        <row r="1">
          <cell r="P1">
            <v>65.349999999999994</v>
          </cell>
        </row>
      </sheetData>
      <sheetData sheetId="266">
        <row r="1">
          <cell r="P1">
            <v>0</v>
          </cell>
        </row>
      </sheetData>
      <sheetData sheetId="267">
        <row r="1">
          <cell r="P1">
            <v>5689.5195000000003</v>
          </cell>
        </row>
      </sheetData>
      <sheetData sheetId="268"/>
      <sheetData sheetId="269"/>
      <sheetData sheetId="270">
        <row r="1">
          <cell r="P1">
            <v>12.79</v>
          </cell>
        </row>
      </sheetData>
      <sheetData sheetId="271"/>
      <sheetData sheetId="272"/>
      <sheetData sheetId="273"/>
      <sheetData sheetId="274">
        <row r="1">
          <cell r="P1">
            <v>0</v>
          </cell>
        </row>
      </sheetData>
      <sheetData sheetId="275">
        <row r="1">
          <cell r="P1">
            <v>0</v>
          </cell>
        </row>
      </sheetData>
      <sheetData sheetId="276"/>
      <sheetData sheetId="27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99"/>
  </sheetPr>
  <dimension ref="A1:AD564"/>
  <sheetViews>
    <sheetView topLeftCell="A292" workbookViewId="0">
      <selection activeCell="A305" sqref="A305:XFD305"/>
    </sheetView>
  </sheetViews>
  <sheetFormatPr defaultColWidth="9.140625" defaultRowHeight="15" x14ac:dyDescent="0.25"/>
  <cols>
    <col min="1" max="1" width="11.140625" customWidth="1"/>
    <col min="2" max="2" width="11.7109375" style="451" customWidth="1"/>
    <col min="3" max="3" width="55.28515625" style="59" customWidth="1"/>
    <col min="4" max="4" width="19.7109375" style="60" hidden="1" customWidth="1"/>
    <col min="5" max="5" width="20.140625" style="453" hidden="1" customWidth="1"/>
    <col min="6" max="6" width="20.140625" style="60" customWidth="1"/>
    <col min="7" max="7" width="20.140625" style="60" hidden="1" customWidth="1"/>
    <col min="8" max="8" width="17.85546875" style="60" customWidth="1"/>
    <col min="9" max="9" width="19" hidden="1" customWidth="1"/>
    <col min="10" max="10" width="32.7109375" hidden="1" customWidth="1"/>
    <col min="11" max="11" width="15.5703125" hidden="1" customWidth="1"/>
    <col min="12" max="13" width="9.140625" hidden="1" customWidth="1"/>
    <col min="14" max="15" width="17.85546875" style="60" customWidth="1"/>
    <col min="16" max="16" width="17.85546875" style="60" hidden="1" customWidth="1"/>
    <col min="17" max="17" width="45.140625" bestFit="1" customWidth="1"/>
    <col min="18" max="18" width="20.42578125" customWidth="1"/>
    <col min="19" max="19" width="11.85546875" style="164" bestFit="1" customWidth="1"/>
  </cols>
  <sheetData>
    <row r="1" spans="2:30" ht="75" x14ac:dyDescent="0.25">
      <c r="B1" s="153"/>
      <c r="C1" s="3" t="s">
        <v>1</v>
      </c>
      <c r="D1" s="4" t="s">
        <v>675</v>
      </c>
      <c r="E1" s="154" t="s">
        <v>2</v>
      </c>
      <c r="F1" s="155" t="s">
        <v>676</v>
      </c>
      <c r="G1" s="156" t="s">
        <v>677</v>
      </c>
      <c r="H1" s="4" t="s">
        <v>678</v>
      </c>
      <c r="I1" s="157" t="s">
        <v>679</v>
      </c>
      <c r="J1" s="157" t="s">
        <v>680</v>
      </c>
      <c r="K1" s="157" t="s">
        <v>681</v>
      </c>
      <c r="N1" s="4" t="s">
        <v>682</v>
      </c>
      <c r="O1" s="4" t="s">
        <v>683</v>
      </c>
      <c r="P1" s="158"/>
      <c r="Q1" s="159" t="s">
        <v>684</v>
      </c>
      <c r="R1" s="159" t="s">
        <v>685</v>
      </c>
      <c r="S1" s="160" t="s">
        <v>686</v>
      </c>
    </row>
    <row r="2" spans="2:30" ht="20.25" x14ac:dyDescent="0.3">
      <c r="B2" s="161"/>
      <c r="C2" s="22" t="s">
        <v>3</v>
      </c>
      <c r="D2" s="7"/>
      <c r="E2" s="162"/>
      <c r="F2" s="7"/>
      <c r="G2" s="7"/>
      <c r="H2" s="7"/>
      <c r="N2" s="7"/>
      <c r="O2" s="7"/>
      <c r="P2" s="163"/>
    </row>
    <row r="3" spans="2:30" s="170" customFormat="1" ht="18.75" x14ac:dyDescent="0.3">
      <c r="B3" s="165">
        <v>1</v>
      </c>
      <c r="C3" s="166" t="s">
        <v>4</v>
      </c>
      <c r="D3" s="167">
        <v>7205827.7999999998</v>
      </c>
      <c r="E3" s="168">
        <f>E4+E36-1</f>
        <v>5095752</v>
      </c>
      <c r="F3" s="167">
        <f t="shared" ref="F3" si="0">F4+F36</f>
        <v>6979982.3100000005</v>
      </c>
      <c r="G3" s="167">
        <f>F3-E3</f>
        <v>1884230.3100000005</v>
      </c>
      <c r="H3" s="167">
        <f>H4+H36+H38</f>
        <v>8563754.5632876717</v>
      </c>
      <c r="I3" s="169">
        <v>867383.24</v>
      </c>
      <c r="N3" s="167">
        <f>N4+N36+N38</f>
        <v>9386500</v>
      </c>
      <c r="O3" s="167">
        <f>O4+O36+O38</f>
        <v>10986500</v>
      </c>
      <c r="P3" s="171"/>
      <c r="S3" s="172"/>
    </row>
    <row r="4" spans="2:30" s="170" customFormat="1" ht="33" x14ac:dyDescent="0.3">
      <c r="B4" s="165">
        <f>B3+1</f>
        <v>2</v>
      </c>
      <c r="C4" s="173" t="s">
        <v>5</v>
      </c>
      <c r="D4" s="174">
        <v>5405827.7999999998</v>
      </c>
      <c r="E4" s="175">
        <f>E9+E22+E25+E29+SUM(E30+E31+E32+E33+E34+E35)</f>
        <v>3895753</v>
      </c>
      <c r="F4" s="174">
        <f>F9+F22+F25+F29+SUM(F30+F31+F32+F33+F34+F35)</f>
        <v>5429982.3100000005</v>
      </c>
      <c r="G4" s="174">
        <f>F4-E4</f>
        <v>1534229.3100000005</v>
      </c>
      <c r="H4" s="174">
        <f>'[1]previsioni ricavi 22-23-24'!E25</f>
        <v>6152487.4400000004</v>
      </c>
      <c r="I4" s="19" t="s">
        <v>95</v>
      </c>
      <c r="J4" s="176"/>
      <c r="K4" s="176"/>
      <c r="L4" s="176"/>
      <c r="M4" s="176"/>
      <c r="N4" s="174">
        <f>'[1]previsioni ricavi 22-23-24'!I25</f>
        <v>6900000</v>
      </c>
      <c r="O4" s="174">
        <f>'[1]previsioni ricavi 22-23-24'!J25</f>
        <v>8500000</v>
      </c>
      <c r="P4" s="177"/>
      <c r="Q4" s="176"/>
      <c r="R4" s="176"/>
      <c r="S4" s="178"/>
      <c r="T4" s="179"/>
      <c r="U4" s="179"/>
      <c r="V4" s="179"/>
      <c r="W4" s="179"/>
      <c r="X4" s="179"/>
      <c r="Y4" s="179"/>
      <c r="Z4" s="179"/>
      <c r="AA4" s="179"/>
      <c r="AB4" s="179"/>
      <c r="AC4" s="179"/>
      <c r="AD4" s="179"/>
    </row>
    <row r="5" spans="2:30" s="170" customFormat="1" x14ac:dyDescent="0.25">
      <c r="B5" s="165">
        <f t="shared" ref="B5:B68" si="1">B4+1</f>
        <v>3</v>
      </c>
      <c r="C5" s="36" t="s">
        <v>6</v>
      </c>
      <c r="D5" s="180"/>
      <c r="E5" s="181">
        <v>289401</v>
      </c>
      <c r="F5" s="180">
        <v>272479.46999999997</v>
      </c>
      <c r="G5" s="180">
        <f>F5-E5</f>
        <v>-16921.530000000028</v>
      </c>
      <c r="H5" s="180"/>
      <c r="I5" s="19" t="s">
        <v>95</v>
      </c>
      <c r="N5" s="180"/>
      <c r="O5" s="180"/>
      <c r="P5" s="182"/>
      <c r="S5" s="172"/>
    </row>
    <row r="6" spans="2:30" s="170" customFormat="1" x14ac:dyDescent="0.25">
      <c r="B6" s="165">
        <f t="shared" si="1"/>
        <v>4</v>
      </c>
      <c r="C6" s="36" t="s">
        <v>7</v>
      </c>
      <c r="D6" s="180"/>
      <c r="E6" s="181">
        <v>73250</v>
      </c>
      <c r="F6" s="180">
        <v>77354.62</v>
      </c>
      <c r="G6" s="180">
        <f t="shared" ref="G6:G35" si="2">F6-E6</f>
        <v>4104.6199999999953</v>
      </c>
      <c r="H6" s="180"/>
      <c r="I6" s="19" t="s">
        <v>95</v>
      </c>
      <c r="N6" s="180"/>
      <c r="O6" s="180"/>
      <c r="P6" s="182"/>
      <c r="S6" s="172"/>
    </row>
    <row r="7" spans="2:30" s="170" customFormat="1" x14ac:dyDescent="0.25">
      <c r="B7" s="165">
        <f t="shared" si="1"/>
        <v>5</v>
      </c>
      <c r="C7" s="36" t="s">
        <v>8</v>
      </c>
      <c r="D7" s="180"/>
      <c r="E7" s="181">
        <v>28283</v>
      </c>
      <c r="F7" s="180">
        <v>32782.720000000001</v>
      </c>
      <c r="G7" s="180">
        <f t="shared" si="2"/>
        <v>4499.7200000000012</v>
      </c>
      <c r="H7" s="180"/>
      <c r="I7" s="19" t="s">
        <v>95</v>
      </c>
      <c r="N7" s="180"/>
      <c r="O7" s="180"/>
      <c r="P7" s="182"/>
      <c r="S7" s="172"/>
    </row>
    <row r="8" spans="2:30" s="170" customFormat="1" x14ac:dyDescent="0.25">
      <c r="B8" s="165">
        <f t="shared" si="1"/>
        <v>6</v>
      </c>
      <c r="C8" s="36" t="s">
        <v>9</v>
      </c>
      <c r="D8" s="180"/>
      <c r="E8" s="181">
        <v>15508</v>
      </c>
      <c r="F8" s="180">
        <v>0</v>
      </c>
      <c r="G8" s="180">
        <f t="shared" si="2"/>
        <v>-15508</v>
      </c>
      <c r="H8" s="180"/>
      <c r="I8" s="19" t="s">
        <v>95</v>
      </c>
      <c r="N8" s="180"/>
      <c r="O8" s="180"/>
      <c r="P8" s="182"/>
      <c r="S8" s="172"/>
    </row>
    <row r="9" spans="2:30" s="170" customFormat="1" ht="23.25" customHeight="1" x14ac:dyDescent="0.3">
      <c r="B9" s="183">
        <f t="shared" si="1"/>
        <v>7</v>
      </c>
      <c r="C9" s="184" t="s">
        <v>10</v>
      </c>
      <c r="D9" s="185">
        <v>0</v>
      </c>
      <c r="E9" s="186">
        <f>SUM(E5:E8)-1</f>
        <v>406441</v>
      </c>
      <c r="F9" s="185">
        <f t="shared" ref="F9" si="3">SUM(F5:F8)</f>
        <v>382616.80999999994</v>
      </c>
      <c r="G9" s="180">
        <f t="shared" si="2"/>
        <v>-23824.190000000061</v>
      </c>
      <c r="H9" s="185">
        <f>SUM(H5:H8)</f>
        <v>0</v>
      </c>
      <c r="I9" s="19" t="s">
        <v>95</v>
      </c>
      <c r="N9" s="185">
        <f>SUM(N5:N8)</f>
        <v>0</v>
      </c>
      <c r="O9" s="185">
        <f>SUM(O5:O8)</f>
        <v>0</v>
      </c>
      <c r="P9" s="187"/>
      <c r="S9" s="172"/>
    </row>
    <row r="10" spans="2:30" s="170" customFormat="1" x14ac:dyDescent="0.25">
      <c r="B10" s="165">
        <f t="shared" si="1"/>
        <v>8</v>
      </c>
      <c r="C10" s="36" t="s">
        <v>11</v>
      </c>
      <c r="D10" s="180"/>
      <c r="E10" s="181">
        <v>340362</v>
      </c>
      <c r="F10" s="180">
        <v>503946.08</v>
      </c>
      <c r="G10" s="180">
        <f t="shared" si="2"/>
        <v>163584.08000000002</v>
      </c>
      <c r="H10" s="180"/>
      <c r="I10" s="19" t="s">
        <v>95</v>
      </c>
      <c r="N10" s="180"/>
      <c r="O10" s="180"/>
      <c r="P10" s="182"/>
      <c r="S10" s="172"/>
    </row>
    <row r="11" spans="2:30" s="170" customFormat="1" x14ac:dyDescent="0.25">
      <c r="B11" s="165">
        <f t="shared" si="1"/>
        <v>9</v>
      </c>
      <c r="C11" s="36" t="s">
        <v>12</v>
      </c>
      <c r="D11" s="180"/>
      <c r="E11" s="181">
        <v>474279</v>
      </c>
      <c r="F11" s="180">
        <v>745479.62</v>
      </c>
      <c r="G11" s="180">
        <f t="shared" si="2"/>
        <v>271200.62</v>
      </c>
      <c r="H11" s="180"/>
      <c r="I11" s="19" t="s">
        <v>95</v>
      </c>
      <c r="N11" s="180"/>
      <c r="O11" s="180"/>
      <c r="P11" s="182"/>
      <c r="S11" s="172"/>
    </row>
    <row r="12" spans="2:30" s="170" customFormat="1" x14ac:dyDescent="0.25">
      <c r="B12" s="165">
        <f>B11+1</f>
        <v>10</v>
      </c>
      <c r="C12" s="36" t="s">
        <v>13</v>
      </c>
      <c r="D12" s="180"/>
      <c r="E12" s="181">
        <v>159069</v>
      </c>
      <c r="F12" s="180">
        <v>243440.14</v>
      </c>
      <c r="G12" s="180">
        <f t="shared" si="2"/>
        <v>84371.140000000014</v>
      </c>
      <c r="H12" s="180"/>
      <c r="I12" s="19" t="s">
        <v>95</v>
      </c>
      <c r="N12" s="180"/>
      <c r="O12" s="180"/>
      <c r="P12" s="182"/>
      <c r="S12" s="172"/>
    </row>
    <row r="13" spans="2:30" s="170" customFormat="1" x14ac:dyDescent="0.25">
      <c r="B13" s="165">
        <f t="shared" si="1"/>
        <v>11</v>
      </c>
      <c r="C13" s="36" t="s">
        <v>14</v>
      </c>
      <c r="D13" s="28"/>
      <c r="E13" s="188">
        <v>445345</v>
      </c>
      <c r="F13" s="28">
        <v>580199.37</v>
      </c>
      <c r="G13" s="180">
        <f t="shared" si="2"/>
        <v>134854.37</v>
      </c>
      <c r="H13" s="28"/>
      <c r="I13" s="19" t="s">
        <v>95</v>
      </c>
      <c r="N13" s="28"/>
      <c r="O13" s="28"/>
      <c r="P13" s="189"/>
      <c r="S13" s="172"/>
    </row>
    <row r="14" spans="2:30" s="170" customFormat="1" x14ac:dyDescent="0.25">
      <c r="B14" s="165">
        <f t="shared" si="1"/>
        <v>12</v>
      </c>
      <c r="C14" s="36" t="s">
        <v>15</v>
      </c>
      <c r="D14" s="180"/>
      <c r="E14" s="181">
        <v>218871</v>
      </c>
      <c r="F14" s="180">
        <v>349942.89</v>
      </c>
      <c r="G14" s="180">
        <f t="shared" si="2"/>
        <v>131071.89000000001</v>
      </c>
      <c r="H14" s="180"/>
      <c r="I14" s="19" t="s">
        <v>95</v>
      </c>
      <c r="N14" s="180"/>
      <c r="O14" s="180"/>
      <c r="P14" s="182"/>
      <c r="S14" s="172"/>
    </row>
    <row r="15" spans="2:30" s="170" customFormat="1" x14ac:dyDescent="0.25">
      <c r="B15" s="165">
        <f t="shared" si="1"/>
        <v>13</v>
      </c>
      <c r="C15" s="36" t="s">
        <v>16</v>
      </c>
      <c r="D15" s="180"/>
      <c r="E15" s="181">
        <v>316892</v>
      </c>
      <c r="F15" s="180">
        <v>590267.78</v>
      </c>
      <c r="G15" s="180">
        <f t="shared" si="2"/>
        <v>273375.78000000003</v>
      </c>
      <c r="H15" s="180"/>
      <c r="I15" s="19" t="s">
        <v>95</v>
      </c>
      <c r="N15" s="180"/>
      <c r="O15" s="180"/>
      <c r="P15" s="182"/>
      <c r="S15" s="172"/>
    </row>
    <row r="16" spans="2:30" s="170" customFormat="1" x14ac:dyDescent="0.25">
      <c r="B16" s="165">
        <f t="shared" si="1"/>
        <v>14</v>
      </c>
      <c r="C16" s="36" t="s">
        <v>17</v>
      </c>
      <c r="D16" s="180"/>
      <c r="E16" s="181">
        <v>60683</v>
      </c>
      <c r="F16" s="180">
        <v>71524.95</v>
      </c>
      <c r="G16" s="180">
        <f t="shared" si="2"/>
        <v>10841.949999999997</v>
      </c>
      <c r="H16" s="180"/>
      <c r="I16" s="19" t="s">
        <v>95</v>
      </c>
      <c r="N16" s="180"/>
      <c r="O16" s="180"/>
      <c r="P16" s="182"/>
      <c r="S16" s="172"/>
    </row>
    <row r="17" spans="2:19" s="170" customFormat="1" x14ac:dyDescent="0.25">
      <c r="B17" s="165">
        <f t="shared" si="1"/>
        <v>15</v>
      </c>
      <c r="C17" s="36" t="s">
        <v>18</v>
      </c>
      <c r="D17" s="180"/>
      <c r="E17" s="181">
        <v>31980</v>
      </c>
      <c r="F17" s="180">
        <v>32496.77</v>
      </c>
      <c r="G17" s="180">
        <f t="shared" si="2"/>
        <v>516.77000000000044</v>
      </c>
      <c r="H17" s="180"/>
      <c r="I17" s="19" t="s">
        <v>95</v>
      </c>
      <c r="N17" s="180"/>
      <c r="O17" s="180"/>
      <c r="P17" s="182"/>
      <c r="S17" s="172"/>
    </row>
    <row r="18" spans="2:19" s="170" customFormat="1" x14ac:dyDescent="0.25">
      <c r="B18" s="165">
        <f t="shared" si="1"/>
        <v>16</v>
      </c>
      <c r="C18" s="36" t="s">
        <v>19</v>
      </c>
      <c r="D18" s="180"/>
      <c r="E18" s="181">
        <v>240015</v>
      </c>
      <c r="F18" s="180">
        <v>303706.28999999998</v>
      </c>
      <c r="G18" s="180">
        <f t="shared" si="2"/>
        <v>63691.289999999979</v>
      </c>
      <c r="H18" s="180"/>
      <c r="I18" s="19" t="s">
        <v>95</v>
      </c>
      <c r="N18" s="180"/>
      <c r="O18" s="180"/>
      <c r="P18" s="182"/>
      <c r="S18" s="172"/>
    </row>
    <row r="19" spans="2:19" s="170" customFormat="1" x14ac:dyDescent="0.25">
      <c r="B19" s="165">
        <f t="shared" si="1"/>
        <v>17</v>
      </c>
      <c r="C19" s="36" t="s">
        <v>20</v>
      </c>
      <c r="D19" s="180"/>
      <c r="E19" s="181">
        <v>228163</v>
      </c>
      <c r="F19" s="180">
        <v>276267.7</v>
      </c>
      <c r="G19" s="180">
        <f t="shared" si="2"/>
        <v>48104.700000000012</v>
      </c>
      <c r="H19" s="180"/>
      <c r="I19" s="19" t="s">
        <v>95</v>
      </c>
      <c r="N19" s="180"/>
      <c r="O19" s="180"/>
      <c r="P19" s="182"/>
      <c r="S19" s="172"/>
    </row>
    <row r="20" spans="2:19" s="170" customFormat="1" x14ac:dyDescent="0.25">
      <c r="B20" s="165">
        <f t="shared" si="1"/>
        <v>18</v>
      </c>
      <c r="C20" s="36" t="s">
        <v>21</v>
      </c>
      <c r="D20" s="180"/>
      <c r="E20" s="181">
        <v>114</v>
      </c>
      <c r="F20" s="180">
        <v>30290.98</v>
      </c>
      <c r="G20" s="180">
        <f t="shared" si="2"/>
        <v>30176.98</v>
      </c>
      <c r="H20" s="180"/>
      <c r="I20" s="19" t="s">
        <v>95</v>
      </c>
      <c r="N20" s="180"/>
      <c r="O20" s="180"/>
      <c r="P20" s="182"/>
      <c r="S20" s="172"/>
    </row>
    <row r="21" spans="2:19" s="170" customFormat="1" x14ac:dyDescent="0.25">
      <c r="B21" s="165">
        <f t="shared" si="1"/>
        <v>19</v>
      </c>
      <c r="C21" s="36" t="s">
        <v>22</v>
      </c>
      <c r="D21" s="180"/>
      <c r="E21" s="181">
        <v>183</v>
      </c>
      <c r="F21" s="180">
        <v>31799.360000000001</v>
      </c>
      <c r="G21" s="180">
        <f t="shared" si="2"/>
        <v>31616.36</v>
      </c>
      <c r="H21" s="180"/>
      <c r="I21" s="19" t="s">
        <v>95</v>
      </c>
      <c r="N21" s="180"/>
      <c r="O21" s="180"/>
      <c r="P21" s="182"/>
      <c r="S21" s="172"/>
    </row>
    <row r="22" spans="2:19" s="170" customFormat="1" ht="33" x14ac:dyDescent="0.3">
      <c r="B22" s="183">
        <f t="shared" si="1"/>
        <v>20</v>
      </c>
      <c r="C22" s="184" t="s">
        <v>23</v>
      </c>
      <c r="D22" s="185">
        <v>0</v>
      </c>
      <c r="E22" s="186">
        <f>SUM(E10:E21)+2</f>
        <v>2515958</v>
      </c>
      <c r="F22" s="185">
        <f t="shared" ref="F22:H22" si="4">SUM(F10:F21)</f>
        <v>3759361.93</v>
      </c>
      <c r="G22" s="180">
        <f t="shared" si="2"/>
        <v>1243403.9300000002</v>
      </c>
      <c r="H22" s="185">
        <f t="shared" si="4"/>
        <v>0</v>
      </c>
      <c r="I22" s="19" t="s">
        <v>95</v>
      </c>
      <c r="N22" s="185">
        <f t="shared" ref="N22:O22" si="5">SUM(N10:N21)</f>
        <v>0</v>
      </c>
      <c r="O22" s="185">
        <f t="shared" si="5"/>
        <v>0</v>
      </c>
      <c r="P22" s="187"/>
      <c r="S22" s="172"/>
    </row>
    <row r="23" spans="2:19" s="170" customFormat="1" x14ac:dyDescent="0.25">
      <c r="B23" s="165">
        <f t="shared" si="1"/>
        <v>21</v>
      </c>
      <c r="C23" s="36" t="s">
        <v>24</v>
      </c>
      <c r="D23" s="180"/>
      <c r="E23" s="181">
        <v>12351</v>
      </c>
      <c r="F23" s="180">
        <v>15570.77</v>
      </c>
      <c r="G23" s="180">
        <f t="shared" si="2"/>
        <v>3219.7700000000004</v>
      </c>
      <c r="H23" s="180"/>
      <c r="I23" s="19" t="s">
        <v>95</v>
      </c>
      <c r="N23" s="180"/>
      <c r="O23" s="180"/>
      <c r="P23" s="182"/>
      <c r="S23" s="172"/>
    </row>
    <row r="24" spans="2:19" s="170" customFormat="1" x14ac:dyDescent="0.25">
      <c r="B24" s="165">
        <f t="shared" si="1"/>
        <v>22</v>
      </c>
      <c r="C24" s="36" t="s">
        <v>25</v>
      </c>
      <c r="D24" s="180"/>
      <c r="E24" s="181">
        <v>549974</v>
      </c>
      <c r="F24" s="180">
        <v>747081.28</v>
      </c>
      <c r="G24" s="180">
        <f t="shared" si="2"/>
        <v>197107.28000000003</v>
      </c>
      <c r="H24" s="180"/>
      <c r="I24" s="19" t="s">
        <v>95</v>
      </c>
      <c r="N24" s="180"/>
      <c r="O24" s="180"/>
      <c r="P24" s="182"/>
      <c r="S24" s="172"/>
    </row>
    <row r="25" spans="2:19" s="170" customFormat="1" ht="33" x14ac:dyDescent="0.3">
      <c r="B25" s="183">
        <f t="shared" si="1"/>
        <v>23</v>
      </c>
      <c r="C25" s="184" t="s">
        <v>26</v>
      </c>
      <c r="D25" s="185">
        <v>0</v>
      </c>
      <c r="E25" s="186">
        <f t="shared" ref="E25:H25" si="6">SUM(E23:E24)</f>
        <v>562325</v>
      </c>
      <c r="F25" s="185">
        <f t="shared" si="6"/>
        <v>762652.05</v>
      </c>
      <c r="G25" s="180">
        <f t="shared" si="2"/>
        <v>200327.05000000005</v>
      </c>
      <c r="H25" s="186">
        <f t="shared" si="6"/>
        <v>0</v>
      </c>
      <c r="I25" s="19" t="s">
        <v>95</v>
      </c>
      <c r="N25" s="186">
        <f t="shared" ref="N25:O25" si="7">SUM(N23:N24)</f>
        <v>0</v>
      </c>
      <c r="O25" s="186">
        <f t="shared" si="7"/>
        <v>0</v>
      </c>
      <c r="P25" s="190"/>
      <c r="S25" s="172"/>
    </row>
    <row r="26" spans="2:19" s="170" customFormat="1" x14ac:dyDescent="0.25">
      <c r="B26" s="165">
        <f t="shared" si="1"/>
        <v>24</v>
      </c>
      <c r="C26" s="36" t="s">
        <v>27</v>
      </c>
      <c r="D26" s="28">
        <v>0</v>
      </c>
      <c r="E26" s="188">
        <v>65575</v>
      </c>
      <c r="F26" s="28">
        <v>0</v>
      </c>
      <c r="G26" s="180">
        <f t="shared" si="2"/>
        <v>-65575</v>
      </c>
      <c r="H26" s="28"/>
      <c r="I26" s="19" t="s">
        <v>95</v>
      </c>
      <c r="N26" s="28"/>
      <c r="O26" s="28"/>
      <c r="P26" s="189"/>
      <c r="S26" s="172"/>
    </row>
    <row r="27" spans="2:19" s="170" customFormat="1" x14ac:dyDescent="0.25">
      <c r="B27" s="165">
        <f t="shared" si="1"/>
        <v>25</v>
      </c>
      <c r="C27" s="36" t="s">
        <v>28</v>
      </c>
      <c r="D27" s="28">
        <v>0</v>
      </c>
      <c r="E27" s="188">
        <v>26240</v>
      </c>
      <c r="F27" s="28">
        <v>0</v>
      </c>
      <c r="G27" s="180">
        <f t="shared" si="2"/>
        <v>-26240</v>
      </c>
      <c r="H27" s="28"/>
      <c r="I27" s="19" t="s">
        <v>95</v>
      </c>
      <c r="N27" s="28"/>
      <c r="O27" s="28"/>
      <c r="P27" s="189"/>
      <c r="S27" s="172"/>
    </row>
    <row r="28" spans="2:19" s="170" customFormat="1" x14ac:dyDescent="0.25">
      <c r="B28" s="165">
        <f t="shared" si="1"/>
        <v>26</v>
      </c>
      <c r="C28" s="36" t="s">
        <v>29</v>
      </c>
      <c r="D28" s="180"/>
      <c r="E28" s="181">
        <v>20996</v>
      </c>
      <c r="F28" s="180">
        <v>73081.87</v>
      </c>
      <c r="G28" s="180">
        <f t="shared" si="2"/>
        <v>52085.869999999995</v>
      </c>
      <c r="H28" s="180"/>
      <c r="I28" s="19" t="s">
        <v>95</v>
      </c>
      <c r="N28" s="180"/>
      <c r="O28" s="180"/>
      <c r="P28" s="182"/>
      <c r="S28" s="172"/>
    </row>
    <row r="29" spans="2:19" s="170" customFormat="1" ht="16.5" x14ac:dyDescent="0.3">
      <c r="B29" s="183">
        <f t="shared" si="1"/>
        <v>27</v>
      </c>
      <c r="C29" s="184" t="s">
        <v>30</v>
      </c>
      <c r="D29" s="185">
        <v>0</v>
      </c>
      <c r="E29" s="186">
        <f>SUM(E26:E28)+1</f>
        <v>112812</v>
      </c>
      <c r="F29" s="185">
        <f t="shared" ref="F29:H29" si="8">SUM(F26:F28)</f>
        <v>73081.87</v>
      </c>
      <c r="G29" s="180">
        <f t="shared" si="2"/>
        <v>-39730.130000000005</v>
      </c>
      <c r="H29" s="186">
        <f t="shared" si="8"/>
        <v>0</v>
      </c>
      <c r="I29" s="19" t="s">
        <v>95</v>
      </c>
      <c r="N29" s="186">
        <f t="shared" ref="N29:O29" si="9">SUM(N26:N28)</f>
        <v>0</v>
      </c>
      <c r="O29" s="186">
        <f t="shared" si="9"/>
        <v>0</v>
      </c>
      <c r="P29" s="190"/>
      <c r="S29" s="172"/>
    </row>
    <row r="30" spans="2:19" s="170" customFormat="1" x14ac:dyDescent="0.25">
      <c r="B30" s="165">
        <f t="shared" si="1"/>
        <v>28</v>
      </c>
      <c r="C30" s="36" t="s">
        <v>31</v>
      </c>
      <c r="D30" s="180"/>
      <c r="E30" s="181">
        <v>21011</v>
      </c>
      <c r="F30" s="180">
        <v>33347.15</v>
      </c>
      <c r="G30" s="180">
        <f t="shared" si="2"/>
        <v>12336.150000000001</v>
      </c>
      <c r="H30" s="180"/>
      <c r="I30" s="19" t="s">
        <v>95</v>
      </c>
      <c r="N30" s="180"/>
      <c r="O30" s="180"/>
      <c r="P30" s="182"/>
      <c r="S30" s="172"/>
    </row>
    <row r="31" spans="2:19" s="170" customFormat="1" x14ac:dyDescent="0.25">
      <c r="B31" s="165">
        <f t="shared" si="1"/>
        <v>29</v>
      </c>
      <c r="C31" s="36" t="s">
        <v>32</v>
      </c>
      <c r="D31" s="180"/>
      <c r="E31" s="181">
        <v>4820</v>
      </c>
      <c r="F31" s="180">
        <v>10655.7</v>
      </c>
      <c r="G31" s="180">
        <f t="shared" si="2"/>
        <v>5835.7000000000007</v>
      </c>
      <c r="H31" s="180"/>
      <c r="I31" s="19" t="s">
        <v>95</v>
      </c>
      <c r="N31" s="180"/>
      <c r="O31" s="180"/>
      <c r="P31" s="182"/>
      <c r="S31" s="172"/>
    </row>
    <row r="32" spans="2:19" s="170" customFormat="1" x14ac:dyDescent="0.25">
      <c r="B32" s="165">
        <f t="shared" si="1"/>
        <v>30</v>
      </c>
      <c r="C32" s="36" t="s">
        <v>33</v>
      </c>
      <c r="D32" s="180"/>
      <c r="E32" s="181">
        <v>42</v>
      </c>
      <c r="F32" s="180">
        <v>369.67</v>
      </c>
      <c r="G32" s="180">
        <f t="shared" si="2"/>
        <v>327.67</v>
      </c>
      <c r="H32" s="180"/>
      <c r="I32" s="19" t="s">
        <v>95</v>
      </c>
      <c r="N32" s="180"/>
      <c r="O32" s="180"/>
      <c r="P32" s="182"/>
      <c r="S32" s="172"/>
    </row>
    <row r="33" spans="2:30" s="170" customFormat="1" x14ac:dyDescent="0.25">
      <c r="B33" s="165">
        <f t="shared" si="1"/>
        <v>31</v>
      </c>
      <c r="C33" s="36" t="s">
        <v>34</v>
      </c>
      <c r="D33" s="180"/>
      <c r="E33" s="181">
        <v>14508</v>
      </c>
      <c r="F33" s="180">
        <v>13750.35</v>
      </c>
      <c r="G33" s="180">
        <f t="shared" si="2"/>
        <v>-757.64999999999964</v>
      </c>
      <c r="H33" s="180"/>
      <c r="I33" s="19" t="s">
        <v>95</v>
      </c>
      <c r="N33" s="180"/>
      <c r="O33" s="180"/>
      <c r="P33" s="182"/>
      <c r="S33" s="172"/>
    </row>
    <row r="34" spans="2:30" s="170" customFormat="1" x14ac:dyDescent="0.25">
      <c r="B34" s="165">
        <f t="shared" si="1"/>
        <v>32</v>
      </c>
      <c r="C34" s="36" t="s">
        <v>35</v>
      </c>
      <c r="D34" s="180"/>
      <c r="E34" s="181">
        <v>163967</v>
      </c>
      <c r="F34" s="180">
        <v>194146.78</v>
      </c>
      <c r="G34" s="180">
        <f t="shared" si="2"/>
        <v>30179.78</v>
      </c>
      <c r="H34" s="180"/>
      <c r="I34" s="19" t="s">
        <v>95</v>
      </c>
      <c r="N34" s="180"/>
      <c r="O34" s="180"/>
      <c r="P34" s="182"/>
      <c r="S34" s="172"/>
    </row>
    <row r="35" spans="2:30" s="170" customFormat="1" x14ac:dyDescent="0.25">
      <c r="B35" s="165">
        <f t="shared" si="1"/>
        <v>33</v>
      </c>
      <c r="C35" s="29" t="s">
        <v>36</v>
      </c>
      <c r="D35" s="28"/>
      <c r="E35" s="188">
        <v>93869</v>
      </c>
      <c r="F35" s="28">
        <v>200000</v>
      </c>
      <c r="G35" s="180">
        <f t="shared" si="2"/>
        <v>106131</v>
      </c>
      <c r="H35" s="28"/>
      <c r="I35" s="19" t="s">
        <v>95</v>
      </c>
      <c r="N35" s="28"/>
      <c r="O35" s="28"/>
      <c r="P35" s="189"/>
      <c r="S35" s="172"/>
    </row>
    <row r="36" spans="2:30" s="170" customFormat="1" ht="33" x14ac:dyDescent="0.3">
      <c r="B36" s="165">
        <f t="shared" si="1"/>
        <v>34</v>
      </c>
      <c r="C36" s="191" t="s">
        <v>37</v>
      </c>
      <c r="D36" s="192">
        <v>1800000</v>
      </c>
      <c r="E36" s="193">
        <f t="shared" ref="E36:H36" si="10">SUM(E37)</f>
        <v>1200000</v>
      </c>
      <c r="F36" s="192">
        <f t="shared" si="10"/>
        <v>1550000</v>
      </c>
      <c r="G36" s="192">
        <f>F36-E36</f>
        <v>350000</v>
      </c>
      <c r="H36" s="192">
        <f t="shared" si="10"/>
        <v>1800000</v>
      </c>
      <c r="I36" s="19" t="s">
        <v>95</v>
      </c>
      <c r="J36" s="179"/>
      <c r="K36" s="179"/>
      <c r="L36" s="179"/>
      <c r="M36" s="179"/>
      <c r="N36" s="192">
        <f t="shared" ref="N36:O36" si="11">SUM(N37)</f>
        <v>1800000</v>
      </c>
      <c r="O36" s="192">
        <f t="shared" si="11"/>
        <v>1800000</v>
      </c>
      <c r="P36" s="194"/>
      <c r="Q36" s="179"/>
      <c r="R36" s="179"/>
      <c r="S36" s="195"/>
      <c r="T36" s="179"/>
      <c r="U36" s="179"/>
      <c r="V36" s="179"/>
      <c r="W36" s="179"/>
      <c r="X36" s="179"/>
      <c r="Y36" s="179"/>
      <c r="Z36" s="179"/>
      <c r="AA36" s="179"/>
      <c r="AB36" s="179"/>
      <c r="AC36" s="179"/>
      <c r="AD36" s="179"/>
    </row>
    <row r="37" spans="2:30" s="170" customFormat="1" x14ac:dyDescent="0.25">
      <c r="B37" s="165">
        <f t="shared" si="1"/>
        <v>35</v>
      </c>
      <c r="C37" s="196" t="s">
        <v>38</v>
      </c>
      <c r="D37" s="197"/>
      <c r="E37" s="198">
        <v>1200000</v>
      </c>
      <c r="F37" s="197">
        <v>1550000</v>
      </c>
      <c r="G37" s="197">
        <f>F37-E37</f>
        <v>350000</v>
      </c>
      <c r="H37" s="197">
        <v>1800000</v>
      </c>
      <c r="I37" s="19" t="s">
        <v>95</v>
      </c>
      <c r="N37" s="197">
        <v>1800000</v>
      </c>
      <c r="O37" s="197">
        <v>1800000</v>
      </c>
      <c r="P37" s="199"/>
      <c r="S37" s="172"/>
    </row>
    <row r="38" spans="2:30" s="170" customFormat="1" ht="16.5" x14ac:dyDescent="0.3">
      <c r="B38" s="165"/>
      <c r="C38" s="200" t="s">
        <v>687</v>
      </c>
      <c r="D38" s="201"/>
      <c r="E38" s="202"/>
      <c r="F38" s="201"/>
      <c r="G38" s="201"/>
      <c r="H38" s="201">
        <f>'[1]previsione SMS 22-23-24'!B43</f>
        <v>611267.12328767125</v>
      </c>
      <c r="I38" s="19" t="s">
        <v>95</v>
      </c>
      <c r="J38" s="201">
        <f>SUM(580000+90000)/12*11</f>
        <v>614166.66666666674</v>
      </c>
      <c r="N38" s="201">
        <f>'[1]previsione SMS 22-23-24'!E43</f>
        <v>686500</v>
      </c>
      <c r="O38" s="201">
        <f>'[1]previsione SMS 22-23-24'!H43</f>
        <v>686500</v>
      </c>
      <c r="P38" s="203"/>
      <c r="S38" s="172"/>
    </row>
    <row r="39" spans="2:30" s="170" customFormat="1" x14ac:dyDescent="0.25">
      <c r="B39" s="165">
        <f>B37+1</f>
        <v>36</v>
      </c>
      <c r="C39" s="27" t="s">
        <v>39</v>
      </c>
      <c r="D39" s="180"/>
      <c r="E39" s="181"/>
      <c r="F39" s="180"/>
      <c r="G39" s="180"/>
      <c r="H39" s="180"/>
      <c r="I39" s="19" t="s">
        <v>95</v>
      </c>
      <c r="N39" s="180"/>
      <c r="O39" s="180"/>
      <c r="P39" s="182"/>
      <c r="S39" s="172"/>
    </row>
    <row r="40" spans="2:30" s="170" customFormat="1" ht="18.75" x14ac:dyDescent="0.3">
      <c r="B40" s="165">
        <f t="shared" si="1"/>
        <v>37</v>
      </c>
      <c r="C40" s="204" t="s">
        <v>39</v>
      </c>
      <c r="D40" s="167">
        <v>472881.23</v>
      </c>
      <c r="E40" s="168">
        <f>E41+E65</f>
        <v>552590</v>
      </c>
      <c r="F40" s="167">
        <f>F41+F65</f>
        <v>570263.77999999991</v>
      </c>
      <c r="G40" s="167">
        <f>F40-E40</f>
        <v>17673.779999999912</v>
      </c>
      <c r="H40" s="167">
        <f>H41+H65+H71</f>
        <v>126838.04999999999</v>
      </c>
      <c r="I40" s="19" t="s">
        <v>95</v>
      </c>
      <c r="N40" s="167">
        <f>N41+N65+N71</f>
        <v>250668.31999999998</v>
      </c>
      <c r="O40" s="167">
        <f>O41+O65+O71</f>
        <v>126834.15999999999</v>
      </c>
      <c r="P40" s="171"/>
      <c r="S40" s="172"/>
    </row>
    <row r="41" spans="2:30" s="170" customFormat="1" ht="18.75" x14ac:dyDescent="0.3">
      <c r="B41" s="165">
        <f t="shared" si="1"/>
        <v>38</v>
      </c>
      <c r="C41" s="173" t="s">
        <v>40</v>
      </c>
      <c r="D41" s="205">
        <v>472539.56</v>
      </c>
      <c r="E41" s="206">
        <f>E42+E46</f>
        <v>547074</v>
      </c>
      <c r="F41" s="207">
        <f>F42+F46</f>
        <v>566774.1399999999</v>
      </c>
      <c r="G41" s="207">
        <f>F41-E41</f>
        <v>19700.139999999898</v>
      </c>
      <c r="H41" s="206">
        <f>H42+H46</f>
        <v>123837.73999999999</v>
      </c>
      <c r="I41" s="19" t="s">
        <v>95</v>
      </c>
      <c r="N41" s="206">
        <f>N42+N46</f>
        <v>247668.31999999998</v>
      </c>
      <c r="O41" s="206">
        <f>O42+O46</f>
        <v>123834.15999999999</v>
      </c>
      <c r="P41" s="208"/>
      <c r="S41" s="172"/>
    </row>
    <row r="42" spans="2:30" s="170" customFormat="1" ht="16.5" x14ac:dyDescent="0.3">
      <c r="B42" s="209"/>
      <c r="C42" s="210" t="s">
        <v>688</v>
      </c>
      <c r="D42" s="211"/>
      <c r="E42" s="212">
        <f>SUM(E43:E45)</f>
        <v>0</v>
      </c>
      <c r="F42" s="213">
        <f>SUM(F43:F45)</f>
        <v>264953</v>
      </c>
      <c r="G42" s="214">
        <f>F42-E42</f>
        <v>264953</v>
      </c>
      <c r="H42" s="215">
        <f>SUM(H43:H45)</f>
        <v>0</v>
      </c>
      <c r="I42" s="19" t="s">
        <v>95</v>
      </c>
      <c r="N42" s="215">
        <f>SUM(N43:N45)</f>
        <v>0</v>
      </c>
      <c r="O42" s="215">
        <f>SUM(O43:O45)</f>
        <v>0</v>
      </c>
      <c r="P42" s="216"/>
      <c r="S42" s="172"/>
    </row>
    <row r="43" spans="2:30" s="170" customFormat="1" x14ac:dyDescent="0.25">
      <c r="B43" s="209">
        <f>B59+1</f>
        <v>52</v>
      </c>
      <c r="C43" s="196" t="s">
        <v>689</v>
      </c>
      <c r="D43" s="197">
        <v>179286</v>
      </c>
      <c r="E43" s="198"/>
      <c r="F43" s="197">
        <v>179286</v>
      </c>
      <c r="G43" s="214">
        <f t="shared" ref="G43:G45" si="12">F43-E43</f>
        <v>179286</v>
      </c>
      <c r="H43" s="217">
        <f>'[1]64,05,519 CONTR.FO.PERDUTO'!P1</f>
        <v>0</v>
      </c>
      <c r="I43" s="19" t="s">
        <v>95</v>
      </c>
      <c r="N43" s="217">
        <f>'[1]64,05,519 CONTR.FO.PERDUTO'!V1</f>
        <v>0</v>
      </c>
      <c r="O43" s="217">
        <f>'[1]64,05,519 CONTR.FO.PERDUTO'!W1</f>
        <v>0</v>
      </c>
      <c r="P43" s="199"/>
      <c r="S43" s="172"/>
    </row>
    <row r="44" spans="2:30" s="170" customFormat="1" ht="27" x14ac:dyDescent="0.25">
      <c r="B44" s="209"/>
      <c r="C44" s="196" t="s">
        <v>690</v>
      </c>
      <c r="D44" s="197"/>
      <c r="E44" s="198"/>
      <c r="F44" s="197">
        <v>5318</v>
      </c>
      <c r="G44" s="214">
        <f t="shared" si="12"/>
        <v>5318</v>
      </c>
      <c r="H44" s="217"/>
      <c r="I44" s="19" t="s">
        <v>95</v>
      </c>
      <c r="N44" s="217"/>
      <c r="O44" s="217"/>
      <c r="P44" s="199"/>
      <c r="S44" s="172"/>
    </row>
    <row r="45" spans="2:30" s="170" customFormat="1" ht="27" x14ac:dyDescent="0.25">
      <c r="B45" s="209"/>
      <c r="C45" s="196" t="s">
        <v>691</v>
      </c>
      <c r="D45" s="218"/>
      <c r="E45" s="198"/>
      <c r="F45" s="197">
        <v>80349</v>
      </c>
      <c r="G45" s="214">
        <f t="shared" si="12"/>
        <v>80349</v>
      </c>
      <c r="H45" s="219"/>
      <c r="I45" s="19" t="s">
        <v>95</v>
      </c>
      <c r="N45" s="219"/>
      <c r="O45" s="219"/>
      <c r="P45" s="220"/>
      <c r="S45" s="172"/>
    </row>
    <row r="46" spans="2:30" s="170" customFormat="1" ht="18.75" x14ac:dyDescent="0.3">
      <c r="B46" s="209"/>
      <c r="C46" s="210" t="s">
        <v>692</v>
      </c>
      <c r="D46" s="221"/>
      <c r="E46" s="212">
        <f>SUM(E47:E63)</f>
        <v>547074</v>
      </c>
      <c r="F46" s="213">
        <f>SUM(F47:F63)</f>
        <v>301821.13999999996</v>
      </c>
      <c r="G46" s="222">
        <f>F46-E46</f>
        <v>-245252.86000000004</v>
      </c>
      <c r="H46" s="223">
        <f>SUM(H47:M64)</f>
        <v>123837.73999999999</v>
      </c>
      <c r="I46" s="19" t="s">
        <v>95</v>
      </c>
      <c r="N46" s="223">
        <f>SUM(N47:U64)</f>
        <v>247668.31999999998</v>
      </c>
      <c r="O46" s="223">
        <f>SUM(O47:V64)</f>
        <v>123834.15999999999</v>
      </c>
      <c r="P46" s="224"/>
      <c r="S46" s="172"/>
    </row>
    <row r="47" spans="2:30" s="170" customFormat="1" x14ac:dyDescent="0.25">
      <c r="B47" s="165">
        <f>B41+1</f>
        <v>39</v>
      </c>
      <c r="C47" s="225" t="s">
        <v>693</v>
      </c>
      <c r="D47" s="197">
        <v>3</v>
      </c>
      <c r="E47" s="198">
        <v>2</v>
      </c>
      <c r="F47" s="197">
        <v>1.9</v>
      </c>
      <c r="G47" s="197">
        <f>F47-E47</f>
        <v>-0.10000000000000009</v>
      </c>
      <c r="H47" s="217">
        <f>'[1]64,05,100 ABBUONI E ARROTOND.IM'!P1</f>
        <v>3.58</v>
      </c>
      <c r="I47" s="19" t="s">
        <v>95</v>
      </c>
      <c r="N47" s="217">
        <f>'[1]64,05,100 ABBUONI E ARROTOND.IM'!V1</f>
        <v>0</v>
      </c>
      <c r="O47" s="217">
        <f>'[1]64,05,100 ABBUONI E ARROTOND.IM'!W1</f>
        <v>0</v>
      </c>
      <c r="P47" s="199"/>
      <c r="S47" s="172"/>
    </row>
    <row r="48" spans="2:30" s="170" customFormat="1" x14ac:dyDescent="0.25">
      <c r="B48" s="209">
        <f t="shared" ref="B48:B59" si="13">B47+1</f>
        <v>40</v>
      </c>
      <c r="C48" s="196" t="s">
        <v>42</v>
      </c>
      <c r="D48" s="197">
        <v>30447.16</v>
      </c>
      <c r="E48" s="198">
        <v>13315</v>
      </c>
      <c r="F48" s="197">
        <v>28649.61</v>
      </c>
      <c r="G48" s="197">
        <f t="shared" ref="G48:G63" si="14">F48-E48</f>
        <v>15334.61</v>
      </c>
      <c r="H48" s="217">
        <f>'[1]64,05,501 prov.pubbl'!P1</f>
        <v>28649.61</v>
      </c>
      <c r="I48" s="19" t="s">
        <v>95</v>
      </c>
      <c r="N48" s="217">
        <f>H48</f>
        <v>28649.61</v>
      </c>
      <c r="O48" s="217">
        <f>N48</f>
        <v>28649.61</v>
      </c>
      <c r="P48" s="199"/>
      <c r="S48" s="172"/>
    </row>
    <row r="49" spans="2:19" s="170" customFormat="1" x14ac:dyDescent="0.25">
      <c r="B49" s="209">
        <f t="shared" si="13"/>
        <v>41</v>
      </c>
      <c r="C49" s="196" t="s">
        <v>43</v>
      </c>
      <c r="D49" s="197">
        <v>9523</v>
      </c>
      <c r="E49" s="198">
        <v>22310</v>
      </c>
      <c r="F49" s="197">
        <v>24728.44</v>
      </c>
      <c r="G49" s="197">
        <f t="shared" si="14"/>
        <v>2418.4399999999987</v>
      </c>
      <c r="H49" s="217">
        <v>15000</v>
      </c>
      <c r="I49" s="19" t="s">
        <v>95</v>
      </c>
      <c r="N49" s="217">
        <v>15000</v>
      </c>
      <c r="O49" s="217">
        <v>15000</v>
      </c>
      <c r="P49" s="199"/>
      <c r="S49" s="172"/>
    </row>
    <row r="50" spans="2:19" s="170" customFormat="1" x14ac:dyDescent="0.25">
      <c r="B50" s="209">
        <f t="shared" si="13"/>
        <v>42</v>
      </c>
      <c r="C50" s="196" t="s">
        <v>44</v>
      </c>
      <c r="D50" s="197">
        <v>24000</v>
      </c>
      <c r="E50" s="198">
        <v>24000</v>
      </c>
      <c r="F50" s="197">
        <v>24000</v>
      </c>
      <c r="G50" s="197">
        <f t="shared" si="14"/>
        <v>0</v>
      </c>
      <c r="H50" s="217">
        <f>'[1]64,05,503 proventi vari'!P1</f>
        <v>24000</v>
      </c>
      <c r="I50" s="19" t="s">
        <v>95</v>
      </c>
      <c r="N50" s="217">
        <f>H50</f>
        <v>24000</v>
      </c>
      <c r="O50" s="217">
        <f>N50</f>
        <v>24000</v>
      </c>
      <c r="P50" s="199"/>
      <c r="S50" s="172"/>
    </row>
    <row r="51" spans="2:19" s="170" customFormat="1" x14ac:dyDescent="0.25">
      <c r="B51" s="209">
        <f t="shared" si="13"/>
        <v>43</v>
      </c>
      <c r="C51" s="196" t="s">
        <v>694</v>
      </c>
      <c r="D51" s="197">
        <v>28892</v>
      </c>
      <c r="E51" s="198"/>
      <c r="F51" s="197">
        <v>16832.150000000001</v>
      </c>
      <c r="G51" s="197">
        <f t="shared" si="14"/>
        <v>16832.150000000001</v>
      </c>
      <c r="H51" s="217">
        <v>13800</v>
      </c>
      <c r="I51" s="19" t="s">
        <v>95</v>
      </c>
      <c r="N51" s="217">
        <v>13800</v>
      </c>
      <c r="O51" s="217">
        <v>13800</v>
      </c>
      <c r="P51" s="199"/>
      <c r="Q51" s="170" t="s">
        <v>695</v>
      </c>
      <c r="S51" s="172"/>
    </row>
    <row r="52" spans="2:19" s="170" customFormat="1" x14ac:dyDescent="0.25">
      <c r="B52" s="209">
        <f t="shared" si="13"/>
        <v>44</v>
      </c>
      <c r="C52" s="196" t="s">
        <v>45</v>
      </c>
      <c r="D52" s="197">
        <v>9356</v>
      </c>
      <c r="E52" s="198">
        <v>1428</v>
      </c>
      <c r="F52" s="197">
        <v>9913.4</v>
      </c>
      <c r="G52" s="197">
        <f t="shared" si="14"/>
        <v>8485.4</v>
      </c>
      <c r="H52" s="217">
        <f>'[1]64,05,507 soprav.att.cau'!P1</f>
        <v>9913.4</v>
      </c>
      <c r="I52" s="19" t="s">
        <v>95</v>
      </c>
      <c r="N52" s="217">
        <v>9913.4</v>
      </c>
      <c r="O52" s="217">
        <v>9913.4</v>
      </c>
      <c r="P52" s="199"/>
      <c r="S52" s="172"/>
    </row>
    <row r="53" spans="2:19" s="170" customFormat="1" x14ac:dyDescent="0.25">
      <c r="B53" s="209">
        <f t="shared" si="13"/>
        <v>45</v>
      </c>
      <c r="C53" s="196" t="s">
        <v>46</v>
      </c>
      <c r="D53" s="197">
        <v>1983</v>
      </c>
      <c r="E53" s="198">
        <v>1889</v>
      </c>
      <c r="F53" s="197">
        <v>2482.4</v>
      </c>
      <c r="G53" s="197">
        <f t="shared" si="14"/>
        <v>593.40000000000009</v>
      </c>
      <c r="H53" s="217">
        <f>'[1]64,05,508 soprav.att.parcometri'!P1</f>
        <v>2482.4</v>
      </c>
      <c r="I53" s="19" t="s">
        <v>95</v>
      </c>
      <c r="N53" s="217">
        <v>2482.4</v>
      </c>
      <c r="O53" s="217">
        <v>2482.4</v>
      </c>
      <c r="P53" s="199"/>
      <c r="S53" s="172"/>
    </row>
    <row r="54" spans="2:19" s="170" customFormat="1" x14ac:dyDescent="0.25">
      <c r="B54" s="209">
        <f t="shared" si="13"/>
        <v>46</v>
      </c>
      <c r="C54" s="196" t="s">
        <v>696</v>
      </c>
      <c r="D54" s="197">
        <v>0</v>
      </c>
      <c r="E54" s="198">
        <v>0</v>
      </c>
      <c r="F54" s="197">
        <v>0</v>
      </c>
      <c r="G54" s="197">
        <f t="shared" si="14"/>
        <v>0</v>
      </c>
      <c r="H54" s="217">
        <v>0</v>
      </c>
      <c r="I54" s="19" t="s">
        <v>95</v>
      </c>
      <c r="N54" s="217">
        <v>0</v>
      </c>
      <c r="O54" s="217">
        <v>0</v>
      </c>
      <c r="P54" s="199"/>
      <c r="S54" s="172"/>
    </row>
    <row r="55" spans="2:19" s="170" customFormat="1" x14ac:dyDescent="0.25">
      <c r="B55" s="209">
        <f t="shared" si="13"/>
        <v>47</v>
      </c>
      <c r="C55" s="196" t="s">
        <v>47</v>
      </c>
      <c r="D55" s="197">
        <v>150000</v>
      </c>
      <c r="E55" s="198">
        <v>250953</v>
      </c>
      <c r="F55" s="197">
        <v>150000</v>
      </c>
      <c r="G55" s="197">
        <f t="shared" si="14"/>
        <v>-100953</v>
      </c>
      <c r="H55" s="217">
        <f>'[1]64,05,510 sopr.att.fondo rischi'!P1</f>
        <v>0</v>
      </c>
      <c r="I55" s="19" t="s">
        <v>95</v>
      </c>
      <c r="N55" s="217">
        <f>'[1]64,05,510 sopr.att.fondo rischi'!V1</f>
        <v>0</v>
      </c>
      <c r="O55" s="217">
        <f>'[1]64,05,510 sopr.att.fondo rischi'!W1</f>
        <v>0</v>
      </c>
      <c r="P55" s="199"/>
      <c r="S55" s="172"/>
    </row>
    <row r="56" spans="2:19" s="170" customFormat="1" x14ac:dyDescent="0.25">
      <c r="B56" s="209">
        <f t="shared" si="13"/>
        <v>48</v>
      </c>
      <c r="C56" s="196" t="s">
        <v>48</v>
      </c>
      <c r="D56" s="197">
        <v>16528.8</v>
      </c>
      <c r="E56" s="198">
        <v>18249</v>
      </c>
      <c r="F56" s="197">
        <v>35085.89</v>
      </c>
      <c r="G56" s="197">
        <f t="shared" si="14"/>
        <v>16836.89</v>
      </c>
      <c r="H56" s="217">
        <f>'[1]64,05,512 soprav.attive indeduc'!P1</f>
        <v>15000</v>
      </c>
      <c r="I56" s="19" t="s">
        <v>95</v>
      </c>
      <c r="N56" s="217">
        <v>15000</v>
      </c>
      <c r="O56" s="217">
        <v>15000</v>
      </c>
      <c r="P56" s="199"/>
      <c r="S56" s="172"/>
    </row>
    <row r="57" spans="2:19" s="170" customFormat="1" ht="39.75" customHeight="1" x14ac:dyDescent="0.25">
      <c r="B57" s="209">
        <f t="shared" si="13"/>
        <v>49</v>
      </c>
      <c r="C57" s="196" t="s">
        <v>49</v>
      </c>
      <c r="D57" s="197">
        <v>0</v>
      </c>
      <c r="E57" s="198">
        <v>212640</v>
      </c>
      <c r="F57" s="197">
        <v>0</v>
      </c>
      <c r="G57" s="197">
        <f t="shared" si="14"/>
        <v>-212640</v>
      </c>
      <c r="H57" s="217" t="str">
        <f>'[1]6405514SOPRAV.ATT.STORN.P.F.M.'!P1</f>
        <v xml:space="preserve"> </v>
      </c>
      <c r="I57" s="19" t="s">
        <v>95</v>
      </c>
      <c r="N57" s="217">
        <f>'[1]6405514SOPRAV.ATT.STORN.P.F.M.'!V1</f>
        <v>0</v>
      </c>
      <c r="O57" s="217">
        <f>'[1]6405514SOPRAV.ATT.STORN.P.F.M.'!W1</f>
        <v>0</v>
      </c>
      <c r="P57" s="199"/>
      <c r="S57" s="172"/>
    </row>
    <row r="58" spans="2:19" s="170" customFormat="1" ht="35.25" customHeight="1" x14ac:dyDescent="0.25">
      <c r="B58" s="209">
        <f t="shared" si="13"/>
        <v>50</v>
      </c>
      <c r="C58" s="196" t="s">
        <v>50</v>
      </c>
      <c r="D58" s="197">
        <v>14122</v>
      </c>
      <c r="E58" s="198">
        <v>2230</v>
      </c>
      <c r="F58" s="197">
        <v>0</v>
      </c>
      <c r="G58" s="197">
        <f t="shared" si="14"/>
        <v>-2230</v>
      </c>
      <c r="H58" s="217"/>
      <c r="I58" s="19" t="s">
        <v>95</v>
      </c>
      <c r="N58" s="217"/>
      <c r="O58" s="217"/>
      <c r="P58" s="199"/>
      <c r="S58" s="172"/>
    </row>
    <row r="59" spans="2:19" s="170" customFormat="1" ht="27" x14ac:dyDescent="0.25">
      <c r="B59" s="209">
        <f t="shared" si="13"/>
        <v>51</v>
      </c>
      <c r="C59" s="196" t="s">
        <v>51</v>
      </c>
      <c r="D59" s="197">
        <v>0</v>
      </c>
      <c r="E59" s="198">
        <v>58</v>
      </c>
      <c r="F59" s="197">
        <v>0</v>
      </c>
      <c r="G59" s="197">
        <f t="shared" si="14"/>
        <v>-58</v>
      </c>
      <c r="H59" s="217">
        <v>0</v>
      </c>
      <c r="I59" s="19" t="s">
        <v>95</v>
      </c>
      <c r="N59" s="217">
        <v>0</v>
      </c>
      <c r="O59" s="217">
        <v>0</v>
      </c>
      <c r="P59" s="199"/>
      <c r="S59" s="172"/>
    </row>
    <row r="60" spans="2:19" s="170" customFormat="1" ht="27" x14ac:dyDescent="0.25">
      <c r="B60" s="209">
        <f>B62+1</f>
        <v>54</v>
      </c>
      <c r="C60" s="196" t="s">
        <v>697</v>
      </c>
      <c r="D60" s="197">
        <v>0</v>
      </c>
      <c r="E60" s="198"/>
      <c r="F60" s="197">
        <v>0</v>
      </c>
      <c r="G60" s="197">
        <f t="shared" si="14"/>
        <v>0</v>
      </c>
      <c r="H60" s="217">
        <v>0</v>
      </c>
      <c r="I60" s="19" t="s">
        <v>95</v>
      </c>
      <c r="N60" s="217">
        <v>0</v>
      </c>
      <c r="O60" s="217">
        <v>0</v>
      </c>
      <c r="P60" s="199"/>
      <c r="S60" s="172"/>
    </row>
    <row r="61" spans="2:19" s="170" customFormat="1" x14ac:dyDescent="0.25">
      <c r="B61" s="209">
        <f>B60+1</f>
        <v>55</v>
      </c>
      <c r="C61" s="196" t="s">
        <v>698</v>
      </c>
      <c r="D61" s="197">
        <v>7778.6</v>
      </c>
      <c r="E61" s="198"/>
      <c r="F61" s="197">
        <v>7778.6</v>
      </c>
      <c r="G61" s="197">
        <f t="shared" si="14"/>
        <v>7778.6</v>
      </c>
      <c r="H61" s="217">
        <v>7500</v>
      </c>
      <c r="I61" s="19" t="s">
        <v>95</v>
      </c>
      <c r="N61" s="217">
        <v>7500</v>
      </c>
      <c r="O61" s="217">
        <v>7500</v>
      </c>
      <c r="P61" s="199"/>
      <c r="S61" s="172"/>
    </row>
    <row r="62" spans="2:19" s="170" customFormat="1" ht="27" x14ac:dyDescent="0.25">
      <c r="B62" s="209">
        <f>B43+1</f>
        <v>53</v>
      </c>
      <c r="C62" s="196" t="s">
        <v>699</v>
      </c>
      <c r="D62" s="197">
        <v>620</v>
      </c>
      <c r="E62" s="198"/>
      <c r="F62" s="197">
        <v>760</v>
      </c>
      <c r="G62" s="197">
        <f t="shared" si="14"/>
        <v>760</v>
      </c>
      <c r="H62" s="217">
        <f>'[1]64,05,520 SOPRAV. ATT. FAGIOLON'!P1</f>
        <v>900</v>
      </c>
      <c r="I62" s="19" t="s">
        <v>95</v>
      </c>
      <c r="N62" s="217">
        <v>900</v>
      </c>
      <c r="O62" s="217">
        <v>900</v>
      </c>
      <c r="P62" s="199"/>
      <c r="S62" s="172"/>
    </row>
    <row r="63" spans="2:19" s="170" customFormat="1" ht="27" x14ac:dyDescent="0.25">
      <c r="B63" s="209"/>
      <c r="C63" s="196" t="s">
        <v>700</v>
      </c>
      <c r="D63" s="197"/>
      <c r="E63" s="198"/>
      <c r="F63" s="197">
        <v>1588.75</v>
      </c>
      <c r="G63" s="197">
        <f t="shared" si="14"/>
        <v>1588.75</v>
      </c>
      <c r="H63" s="197">
        <v>1588.75</v>
      </c>
      <c r="I63" s="19" t="s">
        <v>95</v>
      </c>
      <c r="N63" s="197">
        <v>1588.75</v>
      </c>
      <c r="O63" s="197">
        <v>1588.75</v>
      </c>
      <c r="P63" s="199"/>
      <c r="S63" s="172"/>
    </row>
    <row r="64" spans="2:19" s="170" customFormat="1" x14ac:dyDescent="0.25">
      <c r="B64" s="209"/>
      <c r="C64" s="226" t="s">
        <v>701</v>
      </c>
      <c r="D64" s="218"/>
      <c r="E64" s="227"/>
      <c r="F64" s="218"/>
      <c r="G64" s="218"/>
      <c r="H64" s="228">
        <v>5000</v>
      </c>
      <c r="I64" s="19"/>
      <c r="N64" s="228">
        <v>5000</v>
      </c>
      <c r="O64" s="228">
        <v>5000</v>
      </c>
      <c r="P64" s="229"/>
      <c r="S64" s="172"/>
    </row>
    <row r="65" spans="2:19" s="170" customFormat="1" ht="16.5" x14ac:dyDescent="0.3">
      <c r="B65" s="209">
        <f>B61+1</f>
        <v>56</v>
      </c>
      <c r="C65" s="191" t="s">
        <v>52</v>
      </c>
      <c r="D65" s="192">
        <v>341.67</v>
      </c>
      <c r="E65" s="193">
        <f>SUM(E66:E69)</f>
        <v>5516</v>
      </c>
      <c r="F65" s="192">
        <f>SUM(F66:F69)</f>
        <v>3489.64</v>
      </c>
      <c r="G65" s="192">
        <f>F65-E65</f>
        <v>-2026.3600000000001</v>
      </c>
      <c r="H65" s="193">
        <f>SUM(H66:H70)</f>
        <v>3000.31</v>
      </c>
      <c r="I65" s="19" t="s">
        <v>95</v>
      </c>
      <c r="N65" s="193">
        <f>SUM(N66:N70)</f>
        <v>3000</v>
      </c>
      <c r="O65" s="193">
        <f>SUM(O66:O70)</f>
        <v>3000</v>
      </c>
      <c r="P65" s="230"/>
      <c r="S65" s="172"/>
    </row>
    <row r="66" spans="2:19" s="170" customFormat="1" x14ac:dyDescent="0.25">
      <c r="B66" s="209">
        <f t="shared" si="1"/>
        <v>57</v>
      </c>
      <c r="C66" s="196" t="s">
        <v>53</v>
      </c>
      <c r="D66" s="197">
        <v>6.67</v>
      </c>
      <c r="E66" s="198">
        <v>3</v>
      </c>
      <c r="F66" s="197">
        <v>0.31</v>
      </c>
      <c r="G66" s="197">
        <f>F66-E66</f>
        <v>-2.69</v>
      </c>
      <c r="H66" s="217">
        <f>F66</f>
        <v>0.31</v>
      </c>
      <c r="I66" s="19" t="s">
        <v>95</v>
      </c>
      <c r="N66" s="217">
        <f>L66</f>
        <v>0</v>
      </c>
      <c r="O66" s="217">
        <f>M66</f>
        <v>0</v>
      </c>
      <c r="P66" s="199"/>
      <c r="S66" s="172"/>
    </row>
    <row r="67" spans="2:19" s="170" customFormat="1" ht="27" x14ac:dyDescent="0.25">
      <c r="B67" s="209">
        <f t="shared" si="1"/>
        <v>58</v>
      </c>
      <c r="C67" s="196" t="s">
        <v>702</v>
      </c>
      <c r="D67" s="197">
        <v>335</v>
      </c>
      <c r="E67" s="198">
        <v>4352</v>
      </c>
      <c r="F67" s="197">
        <v>0</v>
      </c>
      <c r="G67" s="197">
        <f t="shared" ref="G67:G69" si="15">F67-E67</f>
        <v>-4352</v>
      </c>
      <c r="H67" s="217"/>
      <c r="I67" s="19" t="s">
        <v>95</v>
      </c>
      <c r="N67" s="217"/>
      <c r="O67" s="217"/>
      <c r="P67" s="199"/>
      <c r="S67" s="172"/>
    </row>
    <row r="68" spans="2:19" s="170" customFormat="1" ht="27" x14ac:dyDescent="0.25">
      <c r="B68" s="209">
        <f t="shared" si="1"/>
        <v>59</v>
      </c>
      <c r="C68" s="196" t="s">
        <v>703</v>
      </c>
      <c r="D68" s="197">
        <v>0</v>
      </c>
      <c r="E68" s="198">
        <v>1161</v>
      </c>
      <c r="F68" s="197">
        <v>0</v>
      </c>
      <c r="G68" s="197">
        <f t="shared" si="15"/>
        <v>-1161</v>
      </c>
      <c r="H68" s="217">
        <v>0</v>
      </c>
      <c r="I68" s="19" t="s">
        <v>95</v>
      </c>
      <c r="N68" s="217">
        <v>0</v>
      </c>
      <c r="O68" s="217">
        <v>0</v>
      </c>
      <c r="P68" s="199"/>
      <c r="S68" s="172"/>
    </row>
    <row r="69" spans="2:19" s="170" customFormat="1" ht="27" x14ac:dyDescent="0.25">
      <c r="B69" s="209"/>
      <c r="C69" s="196" t="s">
        <v>704</v>
      </c>
      <c r="D69" s="197"/>
      <c r="E69" s="198"/>
      <c r="F69" s="197">
        <v>3489.33</v>
      </c>
      <c r="G69" s="197">
        <f t="shared" si="15"/>
        <v>3489.33</v>
      </c>
      <c r="H69" s="217"/>
      <c r="I69" s="19" t="s">
        <v>95</v>
      </c>
      <c r="N69" s="217"/>
      <c r="O69" s="217"/>
      <c r="P69" s="199"/>
      <c r="S69" s="172"/>
    </row>
    <row r="70" spans="2:19" s="170" customFormat="1" x14ac:dyDescent="0.25">
      <c r="B70" s="209"/>
      <c r="C70" s="226" t="s">
        <v>705</v>
      </c>
      <c r="D70" s="218"/>
      <c r="E70" s="227"/>
      <c r="F70" s="218"/>
      <c r="G70" s="218"/>
      <c r="H70" s="228">
        <v>3000</v>
      </c>
      <c r="I70" s="19"/>
      <c r="N70" s="228">
        <v>3000</v>
      </c>
      <c r="O70" s="228">
        <v>3000</v>
      </c>
      <c r="P70" s="229"/>
      <c r="S70" s="172"/>
    </row>
    <row r="71" spans="2:19" s="170" customFormat="1" ht="16.5" x14ac:dyDescent="0.3">
      <c r="B71" s="209"/>
      <c r="C71" s="200" t="s">
        <v>706</v>
      </c>
      <c r="D71" s="201"/>
      <c r="E71" s="202"/>
      <c r="F71" s="201"/>
      <c r="G71" s="201"/>
      <c r="H71" s="201"/>
      <c r="I71" s="19" t="s">
        <v>95</v>
      </c>
      <c r="N71" s="201"/>
      <c r="O71" s="201"/>
      <c r="P71" s="203"/>
      <c r="S71" s="172"/>
    </row>
    <row r="72" spans="2:19" x14ac:dyDescent="0.25">
      <c r="B72" s="231">
        <f>B68+1</f>
        <v>60</v>
      </c>
      <c r="C72" s="20"/>
      <c r="D72" s="32"/>
      <c r="E72" s="232"/>
      <c r="F72" s="32"/>
      <c r="G72" s="32"/>
      <c r="H72" s="32"/>
      <c r="I72" s="19" t="s">
        <v>95</v>
      </c>
      <c r="N72" s="32"/>
      <c r="O72" s="32"/>
      <c r="P72" s="107"/>
    </row>
    <row r="73" spans="2:19" x14ac:dyDescent="0.25">
      <c r="B73" s="231">
        <f t="shared" ref="B73:B97" si="16">B72+1</f>
        <v>61</v>
      </c>
      <c r="C73" s="8" t="s">
        <v>54</v>
      </c>
      <c r="D73" s="7">
        <v>472881.23</v>
      </c>
      <c r="E73" s="162">
        <f>E40</f>
        <v>552590</v>
      </c>
      <c r="F73" s="7">
        <f>F40</f>
        <v>570263.77999999991</v>
      </c>
      <c r="G73" s="7">
        <f>F73-E73</f>
        <v>17673.779999999912</v>
      </c>
      <c r="H73" s="7">
        <f>H40</f>
        <v>126838.04999999999</v>
      </c>
      <c r="I73" s="19" t="s">
        <v>95</v>
      </c>
      <c r="N73" s="7">
        <f>N40</f>
        <v>250668.31999999998</v>
      </c>
      <c r="O73" s="7">
        <f>O40</f>
        <v>126834.15999999999</v>
      </c>
      <c r="P73" s="163"/>
    </row>
    <row r="74" spans="2:19" x14ac:dyDescent="0.25">
      <c r="B74" s="231">
        <f t="shared" si="16"/>
        <v>62</v>
      </c>
      <c r="C74" s="5"/>
      <c r="D74" s="7"/>
      <c r="E74" s="162"/>
      <c r="F74" s="7"/>
      <c r="G74" s="7"/>
      <c r="H74" s="7"/>
      <c r="I74" s="19" t="s">
        <v>95</v>
      </c>
      <c r="N74" s="7"/>
      <c r="O74" s="7"/>
      <c r="P74" s="163"/>
    </row>
    <row r="75" spans="2:19" ht="18.75" x14ac:dyDescent="0.3">
      <c r="B75" s="231">
        <f t="shared" si="16"/>
        <v>63</v>
      </c>
      <c r="C75" s="16" t="s">
        <v>55</v>
      </c>
      <c r="D75" s="41">
        <v>7678709.0299999993</v>
      </c>
      <c r="E75" s="233">
        <f>E40+E3</f>
        <v>5648342</v>
      </c>
      <c r="F75" s="41">
        <f>F40+F3</f>
        <v>7550246.0900000008</v>
      </c>
      <c r="G75" s="41">
        <f>F75-E75</f>
        <v>1901904.0900000008</v>
      </c>
      <c r="H75" s="41">
        <f>H40+H3</f>
        <v>8690592.6132876724</v>
      </c>
      <c r="I75" s="19" t="s">
        <v>95</v>
      </c>
      <c r="N75" s="41">
        <f>N40+N3</f>
        <v>9637168.3200000003</v>
      </c>
      <c r="O75" s="41">
        <f>O40+O3</f>
        <v>11113334.16</v>
      </c>
      <c r="P75" s="234"/>
    </row>
    <row r="76" spans="2:19" x14ac:dyDescent="0.25">
      <c r="B76" s="231">
        <f t="shared" si="16"/>
        <v>64</v>
      </c>
      <c r="C76" s="5"/>
      <c r="D76" s="7"/>
      <c r="E76" s="162"/>
      <c r="F76" s="7"/>
      <c r="G76" s="7"/>
      <c r="H76" s="7"/>
      <c r="I76" s="19" t="s">
        <v>95</v>
      </c>
      <c r="N76" s="7"/>
      <c r="O76" s="7"/>
      <c r="P76" s="163"/>
    </row>
    <row r="77" spans="2:19" ht="20.25" x14ac:dyDescent="0.3">
      <c r="B77" s="231">
        <f t="shared" si="16"/>
        <v>65</v>
      </c>
      <c r="C77" s="22" t="s">
        <v>56</v>
      </c>
      <c r="D77" s="7"/>
      <c r="E77" s="162"/>
      <c r="F77" s="7"/>
      <c r="G77" s="7"/>
      <c r="H77" s="7"/>
      <c r="I77" s="19" t="s">
        <v>95</v>
      </c>
      <c r="N77" s="7"/>
      <c r="O77" s="7"/>
      <c r="P77" s="163"/>
    </row>
    <row r="78" spans="2:19" ht="18.75" x14ac:dyDescent="0.3">
      <c r="B78" s="231">
        <f t="shared" si="16"/>
        <v>66</v>
      </c>
      <c r="C78" s="24" t="s">
        <v>57</v>
      </c>
      <c r="D78" s="17">
        <v>25780.34</v>
      </c>
      <c r="E78" s="235">
        <f>E79+E86-1</f>
        <v>63365</v>
      </c>
      <c r="F78" s="17">
        <f>F79+F86</f>
        <v>25278.039999999997</v>
      </c>
      <c r="G78" s="17">
        <f>F78-E78</f>
        <v>-38086.960000000006</v>
      </c>
      <c r="H78" s="17">
        <f>H79+H86+H90</f>
        <v>36278.039999999994</v>
      </c>
      <c r="I78" s="19" t="s">
        <v>95</v>
      </c>
      <c r="N78" s="17">
        <f>N79+N86+N90</f>
        <v>36278.039999999994</v>
      </c>
      <c r="O78" s="17">
        <f>O79+O86+O90</f>
        <v>36278.039999999994</v>
      </c>
      <c r="P78" s="236"/>
    </row>
    <row r="79" spans="2:19" ht="33" x14ac:dyDescent="0.3">
      <c r="B79" s="231">
        <f t="shared" si="16"/>
        <v>67</v>
      </c>
      <c r="C79" s="25" t="s">
        <v>58</v>
      </c>
      <c r="D79" s="26">
        <v>24823.34</v>
      </c>
      <c r="E79" s="237">
        <f>SUM(E80:E85)</f>
        <v>39589</v>
      </c>
      <c r="F79" s="26">
        <f>SUM(F80:F85)</f>
        <v>24589.1</v>
      </c>
      <c r="G79" s="26">
        <f>F79-E79</f>
        <v>-14999.900000000001</v>
      </c>
      <c r="H79" s="26">
        <f>SUM(H80:H85)</f>
        <v>24589.1</v>
      </c>
      <c r="I79" s="19" t="s">
        <v>95</v>
      </c>
      <c r="N79" s="26">
        <f>SUM(N80:N85)</f>
        <v>24589.1</v>
      </c>
      <c r="O79" s="26">
        <f>SUM(O80:O85)</f>
        <v>24589.1</v>
      </c>
      <c r="P79" s="238"/>
    </row>
    <row r="80" spans="2:19" x14ac:dyDescent="0.25">
      <c r="B80" s="231">
        <f t="shared" si="16"/>
        <v>68</v>
      </c>
      <c r="C80" s="53" t="s">
        <v>59</v>
      </c>
      <c r="D80" s="52">
        <v>3057</v>
      </c>
      <c r="E80" s="239">
        <v>2282</v>
      </c>
      <c r="F80" s="52">
        <v>3443.46</v>
      </c>
      <c r="G80" s="52">
        <f>F80-E80</f>
        <v>1161.46</v>
      </c>
      <c r="H80" s="52">
        <f t="shared" ref="H80:H85" si="17">F80</f>
        <v>3443.46</v>
      </c>
      <c r="I80" s="19" t="s">
        <v>95</v>
      </c>
      <c r="N80" s="52">
        <v>3443.46</v>
      </c>
      <c r="O80" s="52">
        <v>3443.46</v>
      </c>
      <c r="P80" s="240"/>
      <c r="Q80" t="s">
        <v>707</v>
      </c>
    </row>
    <row r="81" spans="2:19" x14ac:dyDescent="0.25">
      <c r="B81" s="231">
        <f t="shared" si="16"/>
        <v>69</v>
      </c>
      <c r="C81" s="53" t="s">
        <v>60</v>
      </c>
      <c r="D81" s="52">
        <v>4655</v>
      </c>
      <c r="E81" s="239">
        <v>4089</v>
      </c>
      <c r="F81" s="52">
        <v>6882.84</v>
      </c>
      <c r="G81" s="52">
        <f t="shared" ref="G81:G85" si="18">F81-E81</f>
        <v>2793.84</v>
      </c>
      <c r="H81" s="52">
        <f t="shared" si="17"/>
        <v>6882.84</v>
      </c>
      <c r="I81" s="19" t="s">
        <v>95</v>
      </c>
      <c r="N81" s="52">
        <v>6882.84</v>
      </c>
      <c r="O81" s="52">
        <v>6882.84</v>
      </c>
      <c r="P81" s="240"/>
    </row>
    <row r="82" spans="2:19" x14ac:dyDescent="0.25">
      <c r="B82" s="231">
        <f t="shared" si="16"/>
        <v>70</v>
      </c>
      <c r="C82" s="53" t="s">
        <v>61</v>
      </c>
      <c r="D82" s="52">
        <v>757</v>
      </c>
      <c r="E82" s="239">
        <v>1270</v>
      </c>
      <c r="F82" s="52">
        <v>1081.93</v>
      </c>
      <c r="G82" s="52">
        <f t="shared" si="18"/>
        <v>-188.06999999999994</v>
      </c>
      <c r="H82" s="52">
        <f t="shared" si="17"/>
        <v>1081.93</v>
      </c>
      <c r="I82" s="19" t="s">
        <v>95</v>
      </c>
      <c r="N82" s="52">
        <v>1081.93</v>
      </c>
      <c r="O82" s="52">
        <v>1081.93</v>
      </c>
      <c r="P82" s="240"/>
      <c r="Q82" t="s">
        <v>708</v>
      </c>
    </row>
    <row r="83" spans="2:19" x14ac:dyDescent="0.25">
      <c r="B83" s="231">
        <f t="shared" si="16"/>
        <v>71</v>
      </c>
      <c r="C83" s="53" t="s">
        <v>62</v>
      </c>
      <c r="D83" s="52">
        <v>10969.34</v>
      </c>
      <c r="E83" s="239">
        <v>15476</v>
      </c>
      <c r="F83" s="52">
        <v>7512</v>
      </c>
      <c r="G83" s="52">
        <f t="shared" si="18"/>
        <v>-7964</v>
      </c>
      <c r="H83" s="52">
        <f t="shared" si="17"/>
        <v>7512</v>
      </c>
      <c r="I83" s="19" t="s">
        <v>95</v>
      </c>
      <c r="N83" s="52">
        <v>7512</v>
      </c>
      <c r="O83" s="52">
        <v>7512</v>
      </c>
      <c r="P83" s="240"/>
    </row>
    <row r="84" spans="2:19" x14ac:dyDescent="0.25">
      <c r="B84" s="231">
        <f t="shared" si="16"/>
        <v>72</v>
      </c>
      <c r="C84" s="53" t="s">
        <v>63</v>
      </c>
      <c r="D84" s="52">
        <v>1930</v>
      </c>
      <c r="E84" s="239">
        <v>11956</v>
      </c>
      <c r="F84" s="52">
        <v>2030.02</v>
      </c>
      <c r="G84" s="52">
        <f t="shared" si="18"/>
        <v>-9925.98</v>
      </c>
      <c r="H84" s="52">
        <f t="shared" si="17"/>
        <v>2030.02</v>
      </c>
      <c r="I84" s="19" t="s">
        <v>95</v>
      </c>
      <c r="N84" s="52">
        <v>2030.02</v>
      </c>
      <c r="O84" s="52">
        <v>2030.02</v>
      </c>
      <c r="P84" s="240"/>
    </row>
    <row r="85" spans="2:19" x14ac:dyDescent="0.25">
      <c r="B85" s="231">
        <f t="shared" si="16"/>
        <v>73</v>
      </c>
      <c r="C85" s="20" t="s">
        <v>64</v>
      </c>
      <c r="D85" s="32">
        <v>3455</v>
      </c>
      <c r="E85" s="232">
        <v>4516</v>
      </c>
      <c r="F85" s="32">
        <v>3638.85</v>
      </c>
      <c r="G85" s="52">
        <f t="shared" si="18"/>
        <v>-877.15000000000009</v>
      </c>
      <c r="H85" s="32">
        <f t="shared" si="17"/>
        <v>3638.85</v>
      </c>
      <c r="I85" s="19" t="s">
        <v>95</v>
      </c>
      <c r="M85" s="241"/>
      <c r="N85" s="32">
        <v>3638.85</v>
      </c>
      <c r="O85" s="32">
        <v>3638.85</v>
      </c>
      <c r="P85" s="107"/>
      <c r="Q85" t="s">
        <v>709</v>
      </c>
    </row>
    <row r="86" spans="2:19" ht="33" x14ac:dyDescent="0.3">
      <c r="B86" s="231">
        <f t="shared" si="16"/>
        <v>74</v>
      </c>
      <c r="C86" s="30" t="s">
        <v>65</v>
      </c>
      <c r="D86" s="42">
        <v>957</v>
      </c>
      <c r="E86" s="242">
        <f>SUM(E87:E89)</f>
        <v>23777</v>
      </c>
      <c r="F86" s="42">
        <f>SUM(F87:F89)</f>
        <v>688.93999999999994</v>
      </c>
      <c r="G86" s="42">
        <f>F86-E86</f>
        <v>-23088.06</v>
      </c>
      <c r="H86" s="42">
        <f>SUM(H87:H89)</f>
        <v>688.93999999999994</v>
      </c>
      <c r="I86" s="19" t="s">
        <v>95</v>
      </c>
      <c r="N86" s="42">
        <f>SUM(N87:N89)</f>
        <v>688.93999999999994</v>
      </c>
      <c r="O86" s="42">
        <f>SUM(O87:O89)</f>
        <v>688.93999999999994</v>
      </c>
      <c r="P86" s="243"/>
    </row>
    <row r="87" spans="2:19" ht="27" x14ac:dyDescent="0.25">
      <c r="B87" s="231">
        <f t="shared" si="16"/>
        <v>75</v>
      </c>
      <c r="C87" s="53" t="s">
        <v>66</v>
      </c>
      <c r="D87" s="52">
        <v>714</v>
      </c>
      <c r="E87" s="239">
        <v>1526</v>
      </c>
      <c r="F87" s="52">
        <v>564.04999999999995</v>
      </c>
      <c r="G87" s="52">
        <f>F87-E87</f>
        <v>-961.95</v>
      </c>
      <c r="H87" s="52">
        <f>F87</f>
        <v>564.04999999999995</v>
      </c>
      <c r="I87" s="19" t="s">
        <v>95</v>
      </c>
      <c r="N87" s="52">
        <v>564.04999999999995</v>
      </c>
      <c r="O87" s="52">
        <v>564.04999999999995</v>
      </c>
      <c r="P87" s="240"/>
    </row>
    <row r="88" spans="2:19" x14ac:dyDescent="0.25">
      <c r="B88" s="231">
        <f t="shared" si="16"/>
        <v>76</v>
      </c>
      <c r="C88" s="53" t="s">
        <v>67</v>
      </c>
      <c r="D88" s="52">
        <v>173</v>
      </c>
      <c r="E88" s="239">
        <v>22215</v>
      </c>
      <c r="F88" s="52">
        <v>104.79</v>
      </c>
      <c r="G88" s="52">
        <f t="shared" ref="G88:G89" si="19">F88-E88</f>
        <v>-22110.21</v>
      </c>
      <c r="H88" s="52">
        <f>F88</f>
        <v>104.79</v>
      </c>
      <c r="I88" s="19" t="s">
        <v>95</v>
      </c>
      <c r="N88" s="52">
        <v>104.79</v>
      </c>
      <c r="O88" s="52">
        <v>104.79</v>
      </c>
      <c r="P88" s="240"/>
    </row>
    <row r="89" spans="2:19" x14ac:dyDescent="0.25">
      <c r="B89" s="231">
        <f t="shared" si="16"/>
        <v>77</v>
      </c>
      <c r="C89" s="53" t="s">
        <v>710</v>
      </c>
      <c r="D89" s="52">
        <v>70</v>
      </c>
      <c r="E89" s="239">
        <v>36</v>
      </c>
      <c r="F89" s="52">
        <v>20.100000000000001</v>
      </c>
      <c r="G89" s="52">
        <f t="shared" si="19"/>
        <v>-15.899999999999999</v>
      </c>
      <c r="H89" s="52">
        <f>F89</f>
        <v>20.100000000000001</v>
      </c>
      <c r="I89" s="19" t="s">
        <v>95</v>
      </c>
      <c r="N89" s="52">
        <v>20.100000000000001</v>
      </c>
      <c r="O89" s="52">
        <v>20.100000000000001</v>
      </c>
      <c r="P89" s="240"/>
    </row>
    <row r="90" spans="2:19" ht="31.15" customHeight="1" x14ac:dyDescent="0.3">
      <c r="B90" s="231"/>
      <c r="C90" s="244" t="s">
        <v>711</v>
      </c>
      <c r="D90" s="245"/>
      <c r="E90" s="246"/>
      <c r="F90" s="245"/>
      <c r="G90" s="245"/>
      <c r="H90" s="245">
        <f>SUM(H91:H93)</f>
        <v>11000</v>
      </c>
      <c r="I90" s="19" t="s">
        <v>95</v>
      </c>
      <c r="N90" s="245">
        <f>SUM(N91:N93)</f>
        <v>11000</v>
      </c>
      <c r="O90" s="245">
        <f>SUM(O91:O93)</f>
        <v>11000</v>
      </c>
      <c r="P90" s="247"/>
    </row>
    <row r="91" spans="2:19" ht="31.15" customHeight="1" x14ac:dyDescent="0.25">
      <c r="B91" s="231"/>
      <c r="C91" s="51" t="s">
        <v>712</v>
      </c>
      <c r="D91" s="106"/>
      <c r="E91" s="248"/>
      <c r="F91" s="106"/>
      <c r="G91" s="106"/>
      <c r="H91" s="106">
        <f>'[1]previsione SMS 22-23-24'!B10</f>
        <v>11000</v>
      </c>
      <c r="I91" s="19"/>
      <c r="N91" s="106">
        <f>'[1]previsione SMS 22-23-24'!E10</f>
        <v>11000</v>
      </c>
      <c r="O91" s="106">
        <f>'[1]previsione SMS 22-23-24'!H10</f>
        <v>11000</v>
      </c>
      <c r="P91" s="249"/>
    </row>
    <row r="92" spans="2:19" ht="16.5" x14ac:dyDescent="0.3">
      <c r="B92" s="231"/>
      <c r="C92" s="250"/>
      <c r="D92" s="106"/>
      <c r="E92" s="248"/>
      <c r="F92" s="106"/>
      <c r="G92" s="106"/>
      <c r="H92" s="106"/>
      <c r="I92" s="19"/>
      <c r="N92" s="106"/>
      <c r="O92" s="106"/>
      <c r="P92" s="249"/>
    </row>
    <row r="93" spans="2:19" ht="16.5" x14ac:dyDescent="0.3">
      <c r="B93" s="231"/>
      <c r="C93" s="250"/>
      <c r="D93" s="106"/>
      <c r="E93" s="248"/>
      <c r="F93" s="106"/>
      <c r="G93" s="106"/>
      <c r="H93" s="106"/>
      <c r="I93" s="19"/>
      <c r="N93" s="106"/>
      <c r="O93" s="106"/>
      <c r="P93" s="249"/>
    </row>
    <row r="94" spans="2:19" ht="18.75" x14ac:dyDescent="0.3">
      <c r="B94" s="231">
        <f>B89+1</f>
        <v>78</v>
      </c>
      <c r="C94" s="24" t="s">
        <v>68</v>
      </c>
      <c r="D94" s="17">
        <v>3402133.2981050224</v>
      </c>
      <c r="E94" s="235">
        <f>E95+E235-2</f>
        <v>3004990</v>
      </c>
      <c r="F94" s="17">
        <f>F95+F235</f>
        <v>3363112.6899999995</v>
      </c>
      <c r="G94" s="17">
        <f>F94-E94</f>
        <v>358122.68999999948</v>
      </c>
      <c r="H94" s="17">
        <f>H95+H235+H327</f>
        <v>4619080.5999999996</v>
      </c>
      <c r="I94" s="19" t="s">
        <v>95</v>
      </c>
      <c r="N94" s="17">
        <f>N95+N235+N327</f>
        <v>4785586.1199999992</v>
      </c>
      <c r="O94" s="17">
        <f>O95+O235+O327</f>
        <v>5348841.01</v>
      </c>
      <c r="P94" s="236"/>
    </row>
    <row r="95" spans="2:19" ht="16.5" x14ac:dyDescent="0.3">
      <c r="B95" s="231">
        <f t="shared" si="16"/>
        <v>79</v>
      </c>
      <c r="C95" s="25" t="s">
        <v>69</v>
      </c>
      <c r="D95" s="237">
        <v>2701689.0616666665</v>
      </c>
      <c r="E95" s="237">
        <f>E101+E102+E109+E116+E135+E162+E192+E234</f>
        <v>2552002</v>
      </c>
      <c r="F95" s="26">
        <f>F101+F102+F109+F116+F135+F162+F192+F234</f>
        <v>2901333.1399999997</v>
      </c>
      <c r="G95" s="26">
        <f>F95-E95</f>
        <v>349331.13999999966</v>
      </c>
      <c r="H95" s="237">
        <f>H101+H102+H109+H116+H135+H162+H192+H234</f>
        <v>3722250.61</v>
      </c>
      <c r="I95" s="19" t="s">
        <v>95</v>
      </c>
      <c r="N95" s="237">
        <f>N101+N102+N109+N116+N135+N162+N192+N234</f>
        <v>4215457.1999999993</v>
      </c>
      <c r="O95" s="237">
        <f>O101+O102+O109+O116+O135+O162+O192+O234</f>
        <v>4797712.09</v>
      </c>
      <c r="P95" s="251"/>
    </row>
    <row r="96" spans="2:19" x14ac:dyDescent="0.25">
      <c r="B96" s="231">
        <f t="shared" si="16"/>
        <v>80</v>
      </c>
      <c r="C96" s="53" t="s">
        <v>70</v>
      </c>
      <c r="D96" s="52">
        <v>256527</v>
      </c>
      <c r="E96" s="239">
        <v>292599</v>
      </c>
      <c r="F96" s="52">
        <v>252725.78</v>
      </c>
      <c r="G96" s="52">
        <f>F96-E96</f>
        <v>-39873.22</v>
      </c>
      <c r="H96" s="252">
        <f>F96+252726*30%</f>
        <v>328543.58</v>
      </c>
      <c r="I96" s="19" t="s">
        <v>95</v>
      </c>
      <c r="N96" s="252">
        <f>H96</f>
        <v>328543.58</v>
      </c>
      <c r="O96" s="252">
        <f>H96</f>
        <v>328543.58</v>
      </c>
      <c r="P96" s="253"/>
      <c r="Q96" t="s">
        <v>713</v>
      </c>
      <c r="S96" s="254">
        <v>280000</v>
      </c>
    </row>
    <row r="97" spans="2:20" ht="27" x14ac:dyDescent="0.25">
      <c r="B97" s="231">
        <f t="shared" si="16"/>
        <v>81</v>
      </c>
      <c r="C97" s="255" t="s">
        <v>714</v>
      </c>
      <c r="D97" s="52">
        <v>19490</v>
      </c>
      <c r="E97" s="239">
        <v>23724</v>
      </c>
      <c r="F97" s="52">
        <v>19143.490000000002</v>
      </c>
      <c r="G97" s="52">
        <f t="shared" ref="G97:G100" si="20">F97-E97</f>
        <v>-4580.5099999999984</v>
      </c>
      <c r="H97" s="256">
        <f>21000+'[1]terrecablate 2021 sp.telef.'!J73</f>
        <v>23374.43</v>
      </c>
      <c r="I97" s="257" t="s">
        <v>95</v>
      </c>
      <c r="J97" s="257"/>
      <c r="K97" s="257"/>
      <c r="L97" s="257"/>
      <c r="M97" s="257"/>
      <c r="N97" s="256">
        <f t="shared" ref="N97:N99" si="21">H97</f>
        <v>23374.43</v>
      </c>
      <c r="O97" s="256">
        <f t="shared" ref="O97:O99" si="22">H97</f>
        <v>23374.43</v>
      </c>
      <c r="P97" s="240"/>
      <c r="Q97" t="s">
        <v>715</v>
      </c>
      <c r="R97" s="258">
        <v>45291</v>
      </c>
      <c r="S97" s="254">
        <v>20000</v>
      </c>
    </row>
    <row r="98" spans="2:20" x14ac:dyDescent="0.25">
      <c r="B98" s="231">
        <f>B97+1</f>
        <v>82</v>
      </c>
      <c r="C98" s="53" t="s">
        <v>71</v>
      </c>
      <c r="D98" s="52">
        <v>728</v>
      </c>
      <c r="E98" s="239">
        <v>576</v>
      </c>
      <c r="F98" s="52">
        <v>670.36</v>
      </c>
      <c r="G98" s="52">
        <f t="shared" si="20"/>
        <v>94.360000000000014</v>
      </c>
      <c r="H98" s="52">
        <f>F98</f>
        <v>670.36</v>
      </c>
      <c r="I98" s="43" t="s">
        <v>95</v>
      </c>
      <c r="J98" s="125"/>
      <c r="K98" s="125"/>
      <c r="L98" s="125"/>
      <c r="M98" s="125"/>
      <c r="N98" s="52">
        <f t="shared" si="21"/>
        <v>670.36</v>
      </c>
      <c r="O98" s="52">
        <f t="shared" si="22"/>
        <v>670.36</v>
      </c>
      <c r="P98" s="240"/>
      <c r="Q98" t="s">
        <v>716</v>
      </c>
      <c r="S98" s="254">
        <v>670.36</v>
      </c>
    </row>
    <row r="99" spans="2:20" x14ac:dyDescent="0.25">
      <c r="B99" s="231">
        <f>B98+1</f>
        <v>83</v>
      </c>
      <c r="C99" s="53" t="s">
        <v>72</v>
      </c>
      <c r="D99" s="52">
        <v>7943</v>
      </c>
      <c r="E99" s="239">
        <v>7200</v>
      </c>
      <c r="F99" s="52">
        <v>7137.41</v>
      </c>
      <c r="G99" s="52">
        <f t="shared" si="20"/>
        <v>-62.590000000000146</v>
      </c>
      <c r="H99" s="252">
        <f>F99+7137*30%</f>
        <v>9278.51</v>
      </c>
      <c r="I99" s="19" t="s">
        <v>95</v>
      </c>
      <c r="N99" s="252">
        <f t="shared" si="21"/>
        <v>9278.51</v>
      </c>
      <c r="O99" s="252">
        <f t="shared" si="22"/>
        <v>9278.51</v>
      </c>
      <c r="P99" s="253"/>
      <c r="Q99" t="s">
        <v>717</v>
      </c>
      <c r="R99" s="258">
        <v>44561</v>
      </c>
      <c r="S99" s="254">
        <v>8000</v>
      </c>
    </row>
    <row r="100" spans="2:20" x14ac:dyDescent="0.25">
      <c r="B100" s="231">
        <f>B99+1</f>
        <v>84</v>
      </c>
      <c r="C100" s="53" t="s">
        <v>73</v>
      </c>
      <c r="D100" s="52">
        <v>20553</v>
      </c>
      <c r="E100" s="239">
        <v>12471</v>
      </c>
      <c r="F100" s="52">
        <v>23464.16</v>
      </c>
      <c r="G100" s="52">
        <f t="shared" si="20"/>
        <v>10993.16</v>
      </c>
      <c r="H100" s="52">
        <f>F100</f>
        <v>23464.16</v>
      </c>
      <c r="I100" s="19" t="s">
        <v>95</v>
      </c>
      <c r="N100" s="52">
        <f>H100</f>
        <v>23464.16</v>
      </c>
      <c r="O100" s="52">
        <f>N100</f>
        <v>23464.16</v>
      </c>
      <c r="P100" s="240"/>
      <c r="Q100" t="s">
        <v>718</v>
      </c>
      <c r="S100" s="254">
        <v>24000</v>
      </c>
    </row>
    <row r="101" spans="2:20" ht="16.5" x14ac:dyDescent="0.3">
      <c r="B101" s="231">
        <f>B95+1</f>
        <v>80</v>
      </c>
      <c r="C101" s="259" t="s">
        <v>74</v>
      </c>
      <c r="D101" s="260">
        <v>305241</v>
      </c>
      <c r="E101" s="261">
        <f>SUM(E96:E100)</f>
        <v>336570</v>
      </c>
      <c r="F101" s="260">
        <f>SUM(F96:F100)</f>
        <v>303141.19999999995</v>
      </c>
      <c r="G101" s="260">
        <f>F101-E101</f>
        <v>-33428.800000000047</v>
      </c>
      <c r="H101" s="260">
        <f>SUM(H96:H100)</f>
        <v>385331.04</v>
      </c>
      <c r="I101" s="19" t="s">
        <v>95</v>
      </c>
      <c r="N101" s="260">
        <f>SUM(N96:N100)</f>
        <v>385331.04</v>
      </c>
      <c r="O101" s="260">
        <f>SUM(O96:O100)</f>
        <v>385331.04</v>
      </c>
      <c r="P101" s="262"/>
    </row>
    <row r="102" spans="2:20" ht="37.5" x14ac:dyDescent="0.3">
      <c r="B102" s="231">
        <f t="shared" ref="B102:B127" si="23">B101+1</f>
        <v>81</v>
      </c>
      <c r="C102" s="263" t="s">
        <v>75</v>
      </c>
      <c r="D102" s="264">
        <v>500000</v>
      </c>
      <c r="E102" s="265">
        <v>10000</v>
      </c>
      <c r="F102" s="264">
        <v>750000</v>
      </c>
      <c r="G102" s="264">
        <f>F102-E102</f>
        <v>740000</v>
      </c>
      <c r="H102" s="264">
        <v>1500000</v>
      </c>
      <c r="I102" s="266" t="s">
        <v>95</v>
      </c>
      <c r="J102" s="1" t="s">
        <v>719</v>
      </c>
      <c r="K102" s="1" t="s">
        <v>720</v>
      </c>
      <c r="L102" s="1"/>
      <c r="M102" s="1"/>
      <c r="N102" s="264">
        <v>1500000</v>
      </c>
      <c r="O102" s="264">
        <v>2500000</v>
      </c>
      <c r="P102" s="267"/>
    </row>
    <row r="103" spans="2:20" x14ac:dyDescent="0.25">
      <c r="B103" s="268">
        <f t="shared" si="23"/>
        <v>82</v>
      </c>
      <c r="C103" s="44" t="s">
        <v>76</v>
      </c>
      <c r="D103" s="52">
        <v>0</v>
      </c>
      <c r="E103" s="239">
        <v>15259</v>
      </c>
      <c r="F103" s="52">
        <v>0</v>
      </c>
      <c r="G103" s="52">
        <f>F103-E103</f>
        <v>-15259</v>
      </c>
      <c r="H103" s="52">
        <f>'[1]68,05,529 spese serv.cau e parc'!P1</f>
        <v>0</v>
      </c>
      <c r="I103" s="19" t="s">
        <v>95</v>
      </c>
      <c r="J103" s="1"/>
      <c r="K103" s="1"/>
      <c r="L103" s="1"/>
      <c r="M103" s="1"/>
      <c r="N103" s="52">
        <v>0</v>
      </c>
      <c r="O103" s="52">
        <v>0</v>
      </c>
      <c r="P103" s="240"/>
    </row>
    <row r="104" spans="2:20" x14ac:dyDescent="0.25">
      <c r="B104" s="268">
        <f t="shared" si="23"/>
        <v>83</v>
      </c>
      <c r="C104" s="269" t="s">
        <v>77</v>
      </c>
      <c r="D104" s="52">
        <v>366470</v>
      </c>
      <c r="E104" s="239">
        <v>354534</v>
      </c>
      <c r="F104" s="52">
        <v>375870.32</v>
      </c>
      <c r="G104" s="52">
        <f t="shared" ref="G104:G108" si="24">F104-E104</f>
        <v>21336.320000000007</v>
      </c>
      <c r="H104" s="52">
        <f>F104</f>
        <v>375870.32</v>
      </c>
      <c r="I104" s="19" t="s">
        <v>95</v>
      </c>
      <c r="J104" s="1" t="s">
        <v>721</v>
      </c>
      <c r="K104" s="1" t="s">
        <v>722</v>
      </c>
      <c r="L104" s="1"/>
      <c r="M104" s="270"/>
      <c r="N104" s="52">
        <v>375870.32</v>
      </c>
      <c r="O104" s="52">
        <v>375870.32</v>
      </c>
      <c r="P104" s="240"/>
      <c r="Q104" t="s">
        <v>723</v>
      </c>
      <c r="R104" s="258">
        <v>44561</v>
      </c>
      <c r="S104" s="271">
        <v>780000</v>
      </c>
      <c r="T104" s="19" t="s">
        <v>724</v>
      </c>
    </row>
    <row r="105" spans="2:20" x14ac:dyDescent="0.25">
      <c r="B105" s="268">
        <f t="shared" si="23"/>
        <v>84</v>
      </c>
      <c r="C105" s="269" t="s">
        <v>78</v>
      </c>
      <c r="D105" s="52">
        <v>0</v>
      </c>
      <c r="E105" s="239">
        <v>7390</v>
      </c>
      <c r="F105" s="52">
        <v>0</v>
      </c>
      <c r="G105" s="52">
        <f t="shared" si="24"/>
        <v>-7390</v>
      </c>
      <c r="H105" s="52">
        <f>'[1]68,05,532 pres,stazione'!P1</f>
        <v>0</v>
      </c>
      <c r="I105" s="19" t="s">
        <v>95</v>
      </c>
      <c r="J105" s="1"/>
      <c r="K105" s="1"/>
      <c r="L105" s="1"/>
      <c r="M105" s="1"/>
      <c r="N105" s="52">
        <v>0</v>
      </c>
      <c r="O105" s="52">
        <v>0</v>
      </c>
      <c r="P105" s="240"/>
    </row>
    <row r="106" spans="2:20" x14ac:dyDescent="0.25">
      <c r="B106" s="268">
        <f t="shared" si="23"/>
        <v>85</v>
      </c>
      <c r="C106" s="269" t="s">
        <v>79</v>
      </c>
      <c r="D106" s="52">
        <v>138611</v>
      </c>
      <c r="E106" s="239">
        <v>154811</v>
      </c>
      <c r="F106" s="52">
        <v>138548.59</v>
      </c>
      <c r="G106" s="52">
        <f t="shared" si="24"/>
        <v>-16262.410000000003</v>
      </c>
      <c r="H106" s="52">
        <f>F106</f>
        <v>138548.59</v>
      </c>
      <c r="I106" s="19" t="s">
        <v>95</v>
      </c>
      <c r="J106" s="1" t="s">
        <v>725</v>
      </c>
      <c r="K106" s="1" t="s">
        <v>726</v>
      </c>
      <c r="L106" s="1"/>
      <c r="M106" s="1"/>
      <c r="N106" s="52">
        <v>138548.59</v>
      </c>
      <c r="O106" s="52">
        <v>138548.59</v>
      </c>
      <c r="P106" s="240"/>
      <c r="Q106" t="s">
        <v>723</v>
      </c>
      <c r="R106" s="258">
        <v>44561</v>
      </c>
      <c r="S106" s="271">
        <f>(11940+103)*12</f>
        <v>144516</v>
      </c>
      <c r="T106" s="19" t="s">
        <v>727</v>
      </c>
    </row>
    <row r="107" spans="2:20" x14ac:dyDescent="0.25">
      <c r="B107" s="268">
        <f t="shared" si="23"/>
        <v>86</v>
      </c>
      <c r="C107" s="269" t="s">
        <v>80</v>
      </c>
      <c r="D107" s="52">
        <v>3916</v>
      </c>
      <c r="E107" s="239">
        <v>3491</v>
      </c>
      <c r="F107" s="52">
        <v>3601.14</v>
      </c>
      <c r="G107" s="52">
        <f t="shared" si="24"/>
        <v>110.13999999999987</v>
      </c>
      <c r="H107" s="52">
        <f>F107+1000</f>
        <v>4601.1399999999994</v>
      </c>
      <c r="I107" t="s">
        <v>728</v>
      </c>
      <c r="J107" s="1"/>
      <c r="K107" s="1"/>
      <c r="L107" s="1"/>
      <c r="M107" s="1"/>
      <c r="N107" s="52">
        <v>4601.1399999999994</v>
      </c>
      <c r="O107" s="52">
        <v>4601.1399999999994</v>
      </c>
      <c r="P107" s="240"/>
      <c r="Q107" t="s">
        <v>729</v>
      </c>
      <c r="R107" t="s">
        <v>730</v>
      </c>
      <c r="S107" s="164">
        <v>3800</v>
      </c>
    </row>
    <row r="108" spans="2:20" x14ac:dyDescent="0.25">
      <c r="B108" s="268">
        <f t="shared" si="23"/>
        <v>87</v>
      </c>
      <c r="C108" s="269" t="s">
        <v>81</v>
      </c>
      <c r="D108" s="52">
        <v>67287.95</v>
      </c>
      <c r="E108" s="239">
        <v>74576</v>
      </c>
      <c r="F108" s="52">
        <v>67287.95</v>
      </c>
      <c r="G108" s="52">
        <f t="shared" si="24"/>
        <v>-7288.0500000000029</v>
      </c>
      <c r="H108" s="52">
        <v>15000</v>
      </c>
      <c r="I108" s="125" t="s">
        <v>731</v>
      </c>
      <c r="J108" s="272" t="s">
        <v>732</v>
      </c>
      <c r="K108" s="272" t="s">
        <v>733</v>
      </c>
      <c r="L108" s="272"/>
      <c r="M108" s="272"/>
      <c r="N108" s="52">
        <v>15000</v>
      </c>
      <c r="O108" s="52">
        <v>15000</v>
      </c>
      <c r="P108" s="253"/>
      <c r="Q108" s="19"/>
      <c r="S108" s="271"/>
      <c r="T108" s="19" t="s">
        <v>727</v>
      </c>
    </row>
    <row r="109" spans="2:20" ht="16.5" x14ac:dyDescent="0.3">
      <c r="B109" s="231">
        <f t="shared" si="23"/>
        <v>88</v>
      </c>
      <c r="C109" s="259" t="s">
        <v>82</v>
      </c>
      <c r="D109" s="260">
        <v>576284.94999999995</v>
      </c>
      <c r="E109" s="261">
        <f>SUM(E103:E108)</f>
        <v>610061</v>
      </c>
      <c r="F109" s="260">
        <f>SUM(F103:F108)</f>
        <v>585308</v>
      </c>
      <c r="G109" s="260">
        <f>F109-E109</f>
        <v>-24753</v>
      </c>
      <c r="H109" s="260">
        <f>SUM(H103:H108)</f>
        <v>534020.05000000005</v>
      </c>
      <c r="I109" s="19" t="s">
        <v>95</v>
      </c>
      <c r="J109" s="1"/>
      <c r="K109" s="1"/>
      <c r="L109" s="1"/>
      <c r="M109" s="1"/>
      <c r="N109" s="260">
        <f>SUM(N103:N108)</f>
        <v>534020.05000000005</v>
      </c>
      <c r="O109" s="260">
        <f>SUM(O103:O108)</f>
        <v>534020.05000000005</v>
      </c>
      <c r="P109" s="262"/>
    </row>
    <row r="110" spans="2:20" x14ac:dyDescent="0.25">
      <c r="B110" s="231">
        <f t="shared" si="23"/>
        <v>89</v>
      </c>
      <c r="C110" s="269" t="s">
        <v>83</v>
      </c>
      <c r="D110" s="52">
        <v>13489</v>
      </c>
      <c r="E110" s="239">
        <v>12970</v>
      </c>
      <c r="F110" s="52">
        <v>13295.51</v>
      </c>
      <c r="G110" s="52">
        <f>F110-E110</f>
        <v>325.51000000000022</v>
      </c>
      <c r="H110" s="52">
        <f>F110+100</f>
        <v>13395.51</v>
      </c>
      <c r="I110" s="19" t="s">
        <v>95</v>
      </c>
      <c r="J110" s="1" t="s">
        <v>734</v>
      </c>
      <c r="K110" s="1" t="s">
        <v>735</v>
      </c>
      <c r="L110" s="1"/>
      <c r="M110" s="1"/>
      <c r="N110" s="52">
        <f>H110</f>
        <v>13395.51</v>
      </c>
      <c r="O110" s="52">
        <f>N110</f>
        <v>13395.51</v>
      </c>
      <c r="P110" s="240"/>
    </row>
    <row r="111" spans="2:20" x14ac:dyDescent="0.25">
      <c r="B111" s="231">
        <f>B112+1</f>
        <v>91</v>
      </c>
      <c r="C111" s="269" t="s">
        <v>85</v>
      </c>
      <c r="D111" s="52">
        <v>640</v>
      </c>
      <c r="E111" s="239">
        <v>355</v>
      </c>
      <c r="F111" s="52">
        <v>647.84</v>
      </c>
      <c r="G111" s="52">
        <f t="shared" ref="G111:G115" si="25">F111-E111</f>
        <v>292.84000000000003</v>
      </c>
      <c r="H111" s="52">
        <f>F111+50</f>
        <v>697.84</v>
      </c>
      <c r="I111" s="19" t="s">
        <v>95</v>
      </c>
      <c r="N111" s="52">
        <f>H111</f>
        <v>697.84</v>
      </c>
      <c r="O111" s="52">
        <f>N111</f>
        <v>697.84</v>
      </c>
      <c r="P111" s="240"/>
    </row>
    <row r="112" spans="2:20" x14ac:dyDescent="0.25">
      <c r="B112" s="231">
        <f>B110+1</f>
        <v>90</v>
      </c>
      <c r="C112" s="269" t="s">
        <v>84</v>
      </c>
      <c r="D112" s="52">
        <v>27498</v>
      </c>
      <c r="E112" s="239">
        <v>15318</v>
      </c>
      <c r="F112" s="52">
        <v>25294.76</v>
      </c>
      <c r="G112" s="52">
        <f t="shared" si="25"/>
        <v>9976.7599999999984</v>
      </c>
      <c r="H112" s="252">
        <f>F112+10000</f>
        <v>35294.759999999995</v>
      </c>
      <c r="I112" t="s">
        <v>736</v>
      </c>
      <c r="N112" s="252">
        <f>H112</f>
        <v>35294.759999999995</v>
      </c>
      <c r="O112" s="252">
        <f>N112</f>
        <v>35294.759999999995</v>
      </c>
      <c r="P112" s="253"/>
      <c r="Q112" t="s">
        <v>737</v>
      </c>
    </row>
    <row r="113" spans="2:20" x14ac:dyDescent="0.25">
      <c r="B113" s="231">
        <f>B111+1</f>
        <v>92</v>
      </c>
      <c r="C113" s="269" t="s">
        <v>86</v>
      </c>
      <c r="D113" s="52">
        <v>358</v>
      </c>
      <c r="E113" s="239">
        <v>75</v>
      </c>
      <c r="F113" s="52">
        <v>308.82</v>
      </c>
      <c r="G113" s="52">
        <f t="shared" si="25"/>
        <v>233.82</v>
      </c>
      <c r="H113" s="52">
        <f>F113+500</f>
        <v>808.81999999999994</v>
      </c>
      <c r="I113" t="s">
        <v>736</v>
      </c>
      <c r="N113" s="52">
        <f>H113</f>
        <v>808.81999999999994</v>
      </c>
      <c r="O113" s="52">
        <f>N113</f>
        <v>808.81999999999994</v>
      </c>
      <c r="P113" s="240"/>
    </row>
    <row r="114" spans="2:20" x14ac:dyDescent="0.25">
      <c r="B114" s="231">
        <f t="shared" si="23"/>
        <v>93</v>
      </c>
      <c r="C114" s="269" t="s">
        <v>87</v>
      </c>
      <c r="D114" s="52">
        <v>3469</v>
      </c>
      <c r="E114" s="239">
        <v>1725</v>
      </c>
      <c r="F114" s="52">
        <v>3371.1</v>
      </c>
      <c r="G114" s="52">
        <f t="shared" si="25"/>
        <v>1646.1</v>
      </c>
      <c r="H114" s="52">
        <f>F114+500</f>
        <v>3871.1</v>
      </c>
      <c r="I114" t="s">
        <v>736</v>
      </c>
      <c r="N114" s="52">
        <v>3871.1</v>
      </c>
      <c r="O114" s="52">
        <v>3871.1</v>
      </c>
      <c r="P114" s="240"/>
    </row>
    <row r="115" spans="2:20" s="125" customFormat="1" x14ac:dyDescent="0.25">
      <c r="B115" s="231">
        <f t="shared" si="23"/>
        <v>94</v>
      </c>
      <c r="C115" s="269" t="s">
        <v>88</v>
      </c>
      <c r="D115" s="52">
        <v>189</v>
      </c>
      <c r="E115" s="239">
        <v>206</v>
      </c>
      <c r="F115" s="52">
        <v>188.5</v>
      </c>
      <c r="G115" s="52">
        <f t="shared" si="25"/>
        <v>-17.5</v>
      </c>
      <c r="H115" s="52">
        <f>F115</f>
        <v>188.5</v>
      </c>
      <c r="I115" s="19" t="s">
        <v>95</v>
      </c>
      <c r="N115" s="52">
        <v>188.5</v>
      </c>
      <c r="O115" s="52">
        <v>188.5</v>
      </c>
      <c r="P115" s="240"/>
      <c r="S115" s="273"/>
    </row>
    <row r="116" spans="2:20" ht="33" x14ac:dyDescent="0.3">
      <c r="B116" s="231">
        <f t="shared" si="23"/>
        <v>95</v>
      </c>
      <c r="C116" s="259" t="s">
        <v>89</v>
      </c>
      <c r="D116" s="260">
        <v>45643</v>
      </c>
      <c r="E116" s="261">
        <f>SUM(E110:E115)</f>
        <v>30649</v>
      </c>
      <c r="F116" s="260">
        <f>SUM(F110:F115)</f>
        <v>43106.53</v>
      </c>
      <c r="G116" s="274">
        <f>F116-E116</f>
        <v>12457.529999999999</v>
      </c>
      <c r="H116" s="260">
        <f>SUM(H110:H115)</f>
        <v>54256.529999999992</v>
      </c>
      <c r="I116" s="19" t="s">
        <v>95</v>
      </c>
      <c r="N116" s="260">
        <f>SUM(N110:N115)</f>
        <v>54256.529999999992</v>
      </c>
      <c r="O116" s="260">
        <f>SUM(O110:O115)</f>
        <v>54256.529999999992</v>
      </c>
      <c r="P116" s="262"/>
    </row>
    <row r="117" spans="2:20" ht="27" x14ac:dyDescent="0.25">
      <c r="B117" s="231">
        <f t="shared" si="23"/>
        <v>96</v>
      </c>
      <c r="C117" s="269" t="s">
        <v>90</v>
      </c>
      <c r="D117" s="54">
        <v>185000</v>
      </c>
      <c r="E117" s="239">
        <v>146458</v>
      </c>
      <c r="F117" s="52">
        <v>183456.6</v>
      </c>
      <c r="G117" s="52">
        <f>F117-E117</f>
        <v>36998.600000000006</v>
      </c>
      <c r="H117" s="275">
        <f>S117</f>
        <v>175740</v>
      </c>
      <c r="I117" s="276" t="s">
        <v>95</v>
      </c>
      <c r="J117" s="101"/>
      <c r="K117" s="101"/>
      <c r="L117" s="101"/>
      <c r="M117" s="101"/>
      <c r="N117" s="275">
        <f>H117</f>
        <v>175740</v>
      </c>
      <c r="O117" s="275">
        <f>N117</f>
        <v>175740</v>
      </c>
      <c r="P117" s="249"/>
      <c r="Q117" t="s">
        <v>738</v>
      </c>
      <c r="R117" s="258">
        <v>46326</v>
      </c>
      <c r="S117" s="271">
        <v>175740</v>
      </c>
      <c r="T117" t="s">
        <v>739</v>
      </c>
    </row>
    <row r="118" spans="2:20" x14ac:dyDescent="0.25">
      <c r="B118" s="231">
        <f t="shared" si="23"/>
        <v>97</v>
      </c>
      <c r="C118" s="269" t="s">
        <v>91</v>
      </c>
      <c r="D118" s="52">
        <v>28841</v>
      </c>
      <c r="E118" s="239">
        <v>28841</v>
      </c>
      <c r="F118" s="52">
        <v>28841.4</v>
      </c>
      <c r="G118" s="52">
        <f t="shared" ref="G118:G134" si="26">F118-E118</f>
        <v>0.40000000000145519</v>
      </c>
      <c r="H118" s="52">
        <f>F118</f>
        <v>28841.4</v>
      </c>
      <c r="I118" s="19" t="s">
        <v>95</v>
      </c>
      <c r="N118" s="52">
        <v>28841.4</v>
      </c>
      <c r="O118" s="52">
        <v>28841.4</v>
      </c>
      <c r="P118" s="240"/>
      <c r="Q118" t="s">
        <v>740</v>
      </c>
      <c r="R118" t="s">
        <v>741</v>
      </c>
      <c r="S118" s="254">
        <v>28841</v>
      </c>
    </row>
    <row r="119" spans="2:20" x14ac:dyDescent="0.25">
      <c r="B119" s="231">
        <f>B124+1</f>
        <v>99</v>
      </c>
      <c r="C119" s="269" t="s">
        <v>93</v>
      </c>
      <c r="D119" s="52">
        <v>29280</v>
      </c>
      <c r="E119" s="239">
        <v>25140</v>
      </c>
      <c r="F119" s="52">
        <v>29280</v>
      </c>
      <c r="G119" s="52">
        <f t="shared" si="26"/>
        <v>4140</v>
      </c>
      <c r="H119" s="252">
        <f>S119</f>
        <v>26200</v>
      </c>
      <c r="I119" s="276" t="s">
        <v>95</v>
      </c>
      <c r="J119" s="101"/>
      <c r="K119" s="101"/>
      <c r="L119" s="101"/>
      <c r="M119" s="101"/>
      <c r="N119" s="252">
        <f>H119</f>
        <v>26200</v>
      </c>
      <c r="O119" s="252">
        <f>N119</f>
        <v>26200</v>
      </c>
      <c r="P119" s="240"/>
      <c r="Q119" t="s">
        <v>742</v>
      </c>
      <c r="R119" s="258">
        <v>44957</v>
      </c>
      <c r="S119" s="277">
        <v>26200</v>
      </c>
      <c r="T119" s="19" t="s">
        <v>739</v>
      </c>
    </row>
    <row r="120" spans="2:20" x14ac:dyDescent="0.25">
      <c r="B120" s="231">
        <f>B119+1</f>
        <v>100</v>
      </c>
      <c r="C120" s="269" t="s">
        <v>94</v>
      </c>
      <c r="D120" s="52">
        <v>14486</v>
      </c>
      <c r="E120" s="239">
        <v>14367</v>
      </c>
      <c r="F120" s="52">
        <v>14486</v>
      </c>
      <c r="G120" s="52">
        <f t="shared" si="26"/>
        <v>119</v>
      </c>
      <c r="H120" s="52">
        <f>F120</f>
        <v>14486</v>
      </c>
      <c r="I120" s="43" t="s">
        <v>95</v>
      </c>
      <c r="J120" s="125"/>
      <c r="K120" s="125"/>
      <c r="L120" s="125"/>
      <c r="M120" s="125"/>
      <c r="N120" s="52">
        <v>14486</v>
      </c>
      <c r="O120" s="52">
        <v>14486</v>
      </c>
      <c r="P120" s="240"/>
      <c r="Q120" t="s">
        <v>743</v>
      </c>
      <c r="R120" s="258">
        <v>44804</v>
      </c>
      <c r="S120" s="254">
        <v>14486</v>
      </c>
    </row>
    <row r="121" spans="2:20" x14ac:dyDescent="0.25">
      <c r="B121" s="231">
        <f>B120+1</f>
        <v>101</v>
      </c>
      <c r="C121" s="269" t="s">
        <v>96</v>
      </c>
      <c r="D121" s="52">
        <v>99660</v>
      </c>
      <c r="E121" s="239">
        <v>99660</v>
      </c>
      <c r="F121" s="52">
        <v>99660.44</v>
      </c>
      <c r="G121" s="52">
        <f t="shared" si="26"/>
        <v>0.44000000000232831</v>
      </c>
      <c r="H121" s="52">
        <f>F121</f>
        <v>99660.44</v>
      </c>
      <c r="I121" s="19" t="s">
        <v>95</v>
      </c>
      <c r="N121" s="52">
        <v>99660.44</v>
      </c>
      <c r="O121" s="52">
        <v>99660.44</v>
      </c>
      <c r="P121" s="240"/>
      <c r="Q121" t="s">
        <v>744</v>
      </c>
      <c r="R121" t="s">
        <v>745</v>
      </c>
      <c r="S121" s="254">
        <v>99660</v>
      </c>
    </row>
    <row r="122" spans="2:20" x14ac:dyDescent="0.25">
      <c r="B122" s="231">
        <f>B121+1</f>
        <v>102</v>
      </c>
      <c r="C122" s="269" t="s">
        <v>97</v>
      </c>
      <c r="D122" s="52">
        <v>0</v>
      </c>
      <c r="E122" s="239">
        <v>1206</v>
      </c>
      <c r="F122" s="52">
        <v>0</v>
      </c>
      <c r="G122" s="52">
        <f t="shared" si="26"/>
        <v>-1206</v>
      </c>
      <c r="H122" s="52">
        <f>'[1]68,05,570 CONTR.ASS.SERVER PRIV'!P1</f>
        <v>0</v>
      </c>
      <c r="I122" s="19" t="s">
        <v>95</v>
      </c>
      <c r="N122" s="52">
        <v>0</v>
      </c>
      <c r="O122" s="52">
        <v>0</v>
      </c>
      <c r="P122" s="240"/>
    </row>
    <row r="123" spans="2:20" x14ac:dyDescent="0.25">
      <c r="B123" s="231">
        <f>B122+1</f>
        <v>103</v>
      </c>
      <c r="C123" s="269" t="s">
        <v>98</v>
      </c>
      <c r="D123" s="52">
        <v>5410</v>
      </c>
      <c r="E123" s="239">
        <v>3528</v>
      </c>
      <c r="F123" s="52">
        <v>5395</v>
      </c>
      <c r="G123" s="52">
        <f t="shared" si="26"/>
        <v>1867</v>
      </c>
      <c r="H123" s="52">
        <f t="shared" ref="H123:H133" si="27">F123</f>
        <v>5395</v>
      </c>
      <c r="I123" s="19" t="s">
        <v>95</v>
      </c>
      <c r="N123" s="52">
        <v>5395</v>
      </c>
      <c r="O123" s="52">
        <v>5395</v>
      </c>
      <c r="P123" s="240"/>
      <c r="Q123" t="s">
        <v>746</v>
      </c>
      <c r="R123" s="258">
        <v>45291</v>
      </c>
      <c r="S123" s="254">
        <v>5395</v>
      </c>
    </row>
    <row r="124" spans="2:20" x14ac:dyDescent="0.25">
      <c r="B124" s="231">
        <f>B118+1</f>
        <v>98</v>
      </c>
      <c r="C124" s="269" t="s">
        <v>92</v>
      </c>
      <c r="D124" s="52">
        <v>12600</v>
      </c>
      <c r="E124" s="239">
        <v>12635</v>
      </c>
      <c r="F124" s="52">
        <v>12600</v>
      </c>
      <c r="G124" s="52">
        <f t="shared" si="26"/>
        <v>-35</v>
      </c>
      <c r="H124" s="52">
        <f t="shared" si="27"/>
        <v>12600</v>
      </c>
      <c r="I124" s="19" t="s">
        <v>95</v>
      </c>
      <c r="N124" s="52">
        <v>12600</v>
      </c>
      <c r="O124" s="52">
        <v>12600</v>
      </c>
      <c r="P124" s="240"/>
      <c r="Q124" t="s">
        <v>747</v>
      </c>
      <c r="R124" s="258">
        <v>44926</v>
      </c>
      <c r="S124" s="254">
        <v>12600</v>
      </c>
    </row>
    <row r="125" spans="2:20" x14ac:dyDescent="0.25">
      <c r="B125" s="231">
        <f>B123+1</f>
        <v>104</v>
      </c>
      <c r="C125" s="269" t="s">
        <v>99</v>
      </c>
      <c r="D125" s="52">
        <v>6010</v>
      </c>
      <c r="E125" s="239">
        <v>6009</v>
      </c>
      <c r="F125" s="52">
        <v>7233.99</v>
      </c>
      <c r="G125" s="52">
        <f t="shared" si="26"/>
        <v>1224.9899999999998</v>
      </c>
      <c r="H125" s="52">
        <f t="shared" si="27"/>
        <v>7233.99</v>
      </c>
      <c r="I125" s="19" t="s">
        <v>95</v>
      </c>
      <c r="N125" s="52">
        <v>7233.99</v>
      </c>
      <c r="O125" s="52">
        <v>7233.99</v>
      </c>
      <c r="P125" s="240"/>
      <c r="Q125" t="s">
        <v>748</v>
      </c>
      <c r="R125" s="258">
        <v>45201</v>
      </c>
      <c r="S125" s="254">
        <v>7234</v>
      </c>
    </row>
    <row r="126" spans="2:20" ht="27" x14ac:dyDescent="0.25">
      <c r="B126" s="231">
        <f t="shared" si="23"/>
        <v>105</v>
      </c>
      <c r="C126" s="269" t="s">
        <v>100</v>
      </c>
      <c r="D126" s="52">
        <v>11803.776666666672</v>
      </c>
      <c r="E126" s="239">
        <v>25156</v>
      </c>
      <c r="F126" s="52">
        <v>11811.7</v>
      </c>
      <c r="G126" s="52">
        <f t="shared" si="26"/>
        <v>-13344.3</v>
      </c>
      <c r="H126" s="52">
        <f t="shared" si="27"/>
        <v>11811.7</v>
      </c>
      <c r="I126" s="19" t="s">
        <v>95</v>
      </c>
      <c r="N126" s="52">
        <v>11811.7</v>
      </c>
      <c r="O126" s="52">
        <v>11811.7</v>
      </c>
      <c r="P126" s="240"/>
      <c r="Q126" t="s">
        <v>749</v>
      </c>
      <c r="R126" s="258">
        <v>46203</v>
      </c>
      <c r="S126" s="254">
        <f>11811.7</f>
        <v>11811.7</v>
      </c>
    </row>
    <row r="127" spans="2:20" x14ac:dyDescent="0.25">
      <c r="B127" s="231">
        <f t="shared" si="23"/>
        <v>106</v>
      </c>
      <c r="C127" s="269" t="s">
        <v>101</v>
      </c>
      <c r="D127" s="52">
        <v>523.57000000000005</v>
      </c>
      <c r="E127" s="239">
        <v>525</v>
      </c>
      <c r="F127" s="52">
        <v>523.57000000000005</v>
      </c>
      <c r="G127" s="52">
        <f t="shared" si="26"/>
        <v>-1.42999999999995</v>
      </c>
      <c r="H127" s="52">
        <f t="shared" si="27"/>
        <v>523.57000000000005</v>
      </c>
      <c r="I127" s="19" t="s">
        <v>95</v>
      </c>
      <c r="N127" s="52">
        <v>523.57000000000005</v>
      </c>
      <c r="O127" s="52">
        <v>523.57000000000005</v>
      </c>
      <c r="P127" s="240"/>
      <c r="Q127" t="s">
        <v>750</v>
      </c>
      <c r="S127" s="254">
        <v>524</v>
      </c>
    </row>
    <row r="128" spans="2:20" x14ac:dyDescent="0.25">
      <c r="B128" s="231">
        <f>B132+1</f>
        <v>111</v>
      </c>
      <c r="C128" s="269" t="s">
        <v>106</v>
      </c>
      <c r="D128" s="52">
        <v>808</v>
      </c>
      <c r="E128" s="239">
        <v>1452</v>
      </c>
      <c r="F128" s="52">
        <v>806</v>
      </c>
      <c r="G128" s="52">
        <f t="shared" si="26"/>
        <v>-646</v>
      </c>
      <c r="H128" s="52">
        <f t="shared" si="27"/>
        <v>806</v>
      </c>
      <c r="I128" s="19" t="s">
        <v>95</v>
      </c>
      <c r="N128" s="52">
        <v>806</v>
      </c>
      <c r="O128" s="52">
        <v>806</v>
      </c>
      <c r="P128" s="240"/>
      <c r="Q128" t="s">
        <v>751</v>
      </c>
      <c r="R128" s="258">
        <v>44561</v>
      </c>
      <c r="S128" s="254">
        <f>490/2</f>
        <v>245</v>
      </c>
      <c r="T128" t="s">
        <v>752</v>
      </c>
    </row>
    <row r="129" spans="2:20" x14ac:dyDescent="0.25">
      <c r="B129" s="231">
        <f>B127+1</f>
        <v>107</v>
      </c>
      <c r="C129" s="269" t="s">
        <v>102</v>
      </c>
      <c r="D129" s="52">
        <v>12000</v>
      </c>
      <c r="E129" s="239">
        <v>12000</v>
      </c>
      <c r="F129" s="52">
        <v>12000</v>
      </c>
      <c r="G129" s="52">
        <f t="shared" si="26"/>
        <v>0</v>
      </c>
      <c r="H129" s="52">
        <f t="shared" si="27"/>
        <v>12000</v>
      </c>
      <c r="I129" s="19" t="s">
        <v>95</v>
      </c>
      <c r="N129" s="52">
        <v>12000</v>
      </c>
      <c r="O129" s="52">
        <v>12000</v>
      </c>
      <c r="P129" s="240"/>
      <c r="Q129" t="s">
        <v>743</v>
      </c>
      <c r="R129" s="258">
        <v>44804</v>
      </c>
      <c r="S129" s="254">
        <v>12000</v>
      </c>
    </row>
    <row r="130" spans="2:20" x14ac:dyDescent="0.25">
      <c r="B130" s="231">
        <f>B128+1</f>
        <v>112</v>
      </c>
      <c r="C130" s="269" t="s">
        <v>107</v>
      </c>
      <c r="D130" s="52">
        <v>565.58999999999992</v>
      </c>
      <c r="E130" s="239">
        <v>1129</v>
      </c>
      <c r="F130" s="52">
        <v>564.29</v>
      </c>
      <c r="G130" s="52">
        <f t="shared" si="26"/>
        <v>-564.71</v>
      </c>
      <c r="H130" s="52">
        <f t="shared" si="27"/>
        <v>564.29</v>
      </c>
      <c r="I130" s="19" t="s">
        <v>95</v>
      </c>
      <c r="N130" s="52">
        <v>564.29</v>
      </c>
      <c r="O130" s="52">
        <v>564.29</v>
      </c>
      <c r="P130" s="240"/>
      <c r="Q130" t="s">
        <v>753</v>
      </c>
      <c r="R130" s="258">
        <v>46752</v>
      </c>
      <c r="S130" s="254">
        <v>564.29999999999995</v>
      </c>
    </row>
    <row r="131" spans="2:20" x14ac:dyDescent="0.25">
      <c r="B131" s="231">
        <f>B133+1</f>
        <v>109</v>
      </c>
      <c r="C131" s="269" t="s">
        <v>103</v>
      </c>
      <c r="D131" s="52">
        <v>225</v>
      </c>
      <c r="E131" s="239">
        <v>933</v>
      </c>
      <c r="F131" s="52">
        <v>500</v>
      </c>
      <c r="G131" s="52">
        <f t="shared" si="26"/>
        <v>-433</v>
      </c>
      <c r="H131" s="52">
        <f t="shared" si="27"/>
        <v>500</v>
      </c>
      <c r="I131" s="19" t="s">
        <v>95</v>
      </c>
      <c r="N131" s="52">
        <v>500</v>
      </c>
      <c r="O131" s="52">
        <v>500</v>
      </c>
      <c r="P131" s="240"/>
      <c r="Q131" t="s">
        <v>754</v>
      </c>
      <c r="R131" s="258">
        <v>44561</v>
      </c>
      <c r="S131" s="278">
        <v>500</v>
      </c>
    </row>
    <row r="132" spans="2:20" x14ac:dyDescent="0.25">
      <c r="B132" s="231">
        <f>B131+1</f>
        <v>110</v>
      </c>
      <c r="C132" s="269" t="s">
        <v>104</v>
      </c>
      <c r="D132" s="52">
        <v>3008</v>
      </c>
      <c r="E132" s="239">
        <v>6000</v>
      </c>
      <c r="F132" s="52">
        <v>3000</v>
      </c>
      <c r="G132" s="52">
        <f t="shared" si="26"/>
        <v>-3000</v>
      </c>
      <c r="H132" s="52">
        <f t="shared" si="27"/>
        <v>3000</v>
      </c>
      <c r="I132" s="19" t="s">
        <v>95</v>
      </c>
      <c r="N132" s="52">
        <v>3000</v>
      </c>
      <c r="O132" s="52">
        <v>3000</v>
      </c>
      <c r="P132" s="240"/>
      <c r="Q132" s="279" t="s">
        <v>755</v>
      </c>
      <c r="S132" s="164">
        <v>800</v>
      </c>
      <c r="T132" s="19" t="s">
        <v>756</v>
      </c>
    </row>
    <row r="133" spans="2:20" x14ac:dyDescent="0.25">
      <c r="B133" s="231">
        <f>B129+1</f>
        <v>108</v>
      </c>
      <c r="C133" s="269" t="s">
        <v>105</v>
      </c>
      <c r="D133" s="52">
        <v>1000</v>
      </c>
      <c r="E133" s="239">
        <v>933</v>
      </c>
      <c r="F133" s="52">
        <v>0</v>
      </c>
      <c r="G133" s="52">
        <f t="shared" si="26"/>
        <v>-933</v>
      </c>
      <c r="H133" s="52">
        <f t="shared" si="27"/>
        <v>0</v>
      </c>
      <c r="I133" s="19" t="s">
        <v>95</v>
      </c>
      <c r="N133" s="52">
        <v>0</v>
      </c>
      <c r="O133" s="52">
        <v>0</v>
      </c>
      <c r="P133" s="240"/>
    </row>
    <row r="134" spans="2:20" x14ac:dyDescent="0.25">
      <c r="B134" s="231"/>
      <c r="C134" s="269" t="s">
        <v>757</v>
      </c>
      <c r="D134" s="197">
        <v>10000</v>
      </c>
      <c r="E134" s="198">
        <v>0</v>
      </c>
      <c r="F134" s="197">
        <v>4718.2299999999996</v>
      </c>
      <c r="G134" s="52">
        <f t="shared" si="26"/>
        <v>4718.2299999999996</v>
      </c>
      <c r="H134" s="52">
        <v>10000</v>
      </c>
      <c r="I134" s="19" t="s">
        <v>95</v>
      </c>
      <c r="N134" s="52">
        <v>10000</v>
      </c>
      <c r="O134" s="52">
        <v>10000</v>
      </c>
      <c r="P134" s="240"/>
      <c r="Q134" t="s">
        <v>758</v>
      </c>
    </row>
    <row r="135" spans="2:20" ht="16.5" x14ac:dyDescent="0.3">
      <c r="B135" s="231">
        <f>B130+1</f>
        <v>113</v>
      </c>
      <c r="C135" s="259" t="s">
        <v>108</v>
      </c>
      <c r="D135" s="280">
        <v>421220.9366666667</v>
      </c>
      <c r="E135" s="281">
        <f>SUM(E117:E134)+2</f>
        <v>385974</v>
      </c>
      <c r="F135" s="280">
        <f>SUM(F117:F134)</f>
        <v>414877.22</v>
      </c>
      <c r="G135" s="280">
        <f>F135-E135</f>
        <v>28903.219999999972</v>
      </c>
      <c r="H135" s="280">
        <f>SUM(H117:H134)</f>
        <v>409362.38999999996</v>
      </c>
      <c r="I135" s="19" t="s">
        <v>95</v>
      </c>
      <c r="N135" s="280">
        <f>SUM(N117:N134)</f>
        <v>409362.38999999996</v>
      </c>
      <c r="O135" s="280">
        <f>SUM(O117:O134)</f>
        <v>409362.38999999996</v>
      </c>
      <c r="P135" s="282"/>
    </row>
    <row r="136" spans="2:20" s="35" customFormat="1" ht="27" x14ac:dyDescent="0.25">
      <c r="B136" s="209">
        <f>B131+1</f>
        <v>110</v>
      </c>
      <c r="C136" s="283" t="s">
        <v>109</v>
      </c>
      <c r="D136" s="284">
        <v>600</v>
      </c>
      <c r="E136" s="285">
        <v>600</v>
      </c>
      <c r="F136" s="284">
        <v>600</v>
      </c>
      <c r="G136" s="284">
        <f>F136-E136</f>
        <v>0</v>
      </c>
      <c r="H136" s="285">
        <v>600</v>
      </c>
      <c r="I136" s="19" t="s">
        <v>95</v>
      </c>
      <c r="N136" s="285">
        <v>600</v>
      </c>
      <c r="O136" s="285">
        <v>600</v>
      </c>
      <c r="P136" s="286"/>
      <c r="S136" s="287"/>
    </row>
    <row r="137" spans="2:20" s="35" customFormat="1" x14ac:dyDescent="0.25">
      <c r="B137" s="209">
        <f>B132+1</f>
        <v>111</v>
      </c>
      <c r="C137" s="283" t="s">
        <v>110</v>
      </c>
      <c r="D137" s="284">
        <v>3850</v>
      </c>
      <c r="E137" s="285">
        <v>3987</v>
      </c>
      <c r="F137" s="284">
        <v>3723.28</v>
      </c>
      <c r="G137" s="284">
        <f t="shared" ref="G137:G161" si="28">F137-E137</f>
        <v>-263.7199999999998</v>
      </c>
      <c r="H137" s="285">
        <v>3723.28</v>
      </c>
      <c r="I137" s="19" t="s">
        <v>95</v>
      </c>
      <c r="N137" s="285">
        <v>3723.28</v>
      </c>
      <c r="O137" s="285">
        <v>3723.28</v>
      </c>
      <c r="P137" s="286"/>
      <c r="S137" s="287"/>
    </row>
    <row r="138" spans="2:20" s="35" customFormat="1" x14ac:dyDescent="0.25">
      <c r="B138" s="209">
        <f>B133+1</f>
        <v>109</v>
      </c>
      <c r="C138" s="283" t="s">
        <v>111</v>
      </c>
      <c r="D138" s="284">
        <v>39789.839999999997</v>
      </c>
      <c r="E138" s="285">
        <v>39610</v>
      </c>
      <c r="F138" s="284">
        <v>39789.839999999997</v>
      </c>
      <c r="G138" s="284">
        <f t="shared" si="28"/>
        <v>179.83999999999651</v>
      </c>
      <c r="H138" s="285">
        <v>39789.839999999997</v>
      </c>
      <c r="I138" s="19" t="s">
        <v>95</v>
      </c>
      <c r="N138" s="285">
        <v>39789.839999999997</v>
      </c>
      <c r="O138" s="285">
        <v>39789.839999999997</v>
      </c>
      <c r="P138" s="286"/>
      <c r="S138" s="287"/>
    </row>
    <row r="139" spans="2:20" s="35" customFormat="1" x14ac:dyDescent="0.25">
      <c r="B139" s="209">
        <f t="shared" ref="B139:B202" si="29">B135+1</f>
        <v>114</v>
      </c>
      <c r="C139" s="283" t="s">
        <v>112</v>
      </c>
      <c r="D139" s="284">
        <v>20663.03</v>
      </c>
      <c r="E139" s="285">
        <v>20568</v>
      </c>
      <c r="F139" s="284">
        <v>20663.03</v>
      </c>
      <c r="G139" s="284">
        <f t="shared" si="28"/>
        <v>95.029999999998836</v>
      </c>
      <c r="H139" s="285">
        <v>20663.03</v>
      </c>
      <c r="I139" s="19" t="s">
        <v>95</v>
      </c>
      <c r="N139" s="285">
        <v>20663.03</v>
      </c>
      <c r="O139" s="285">
        <v>20663.03</v>
      </c>
      <c r="P139" s="286"/>
      <c r="S139" s="287"/>
    </row>
    <row r="140" spans="2:20" s="35" customFormat="1" ht="27" x14ac:dyDescent="0.25">
      <c r="B140" s="209">
        <f t="shared" si="29"/>
        <v>111</v>
      </c>
      <c r="C140" s="288" t="s">
        <v>113</v>
      </c>
      <c r="D140" s="289">
        <v>1137.02</v>
      </c>
      <c r="E140" s="290">
        <v>2943</v>
      </c>
      <c r="F140" s="289">
        <v>2423.5700000000002</v>
      </c>
      <c r="G140" s="289">
        <f t="shared" si="28"/>
        <v>-519.42999999999984</v>
      </c>
      <c r="H140" s="290">
        <v>2423.5700000000002</v>
      </c>
      <c r="I140" s="19" t="s">
        <v>95</v>
      </c>
      <c r="N140" s="290">
        <v>2423.5700000000002</v>
      </c>
      <c r="O140" s="290">
        <v>2423.5700000000002</v>
      </c>
      <c r="P140" s="291"/>
      <c r="S140" s="287"/>
    </row>
    <row r="141" spans="2:20" s="35" customFormat="1" ht="27" x14ac:dyDescent="0.25">
      <c r="B141" s="209">
        <f t="shared" si="29"/>
        <v>112</v>
      </c>
      <c r="C141" s="283" t="s">
        <v>114</v>
      </c>
      <c r="D141" s="284">
        <v>16880.78</v>
      </c>
      <c r="E141" s="285">
        <v>16804</v>
      </c>
      <c r="F141" s="284">
        <v>16880.78</v>
      </c>
      <c r="G141" s="284">
        <f t="shared" si="28"/>
        <v>76.779999999998836</v>
      </c>
      <c r="H141" s="285">
        <v>16880.78</v>
      </c>
      <c r="I141" s="19" t="s">
        <v>95</v>
      </c>
      <c r="N141" s="285">
        <v>16880.78</v>
      </c>
      <c r="O141" s="285">
        <v>16880.78</v>
      </c>
      <c r="P141" s="286"/>
      <c r="S141" s="287"/>
    </row>
    <row r="142" spans="2:20" s="35" customFormat="1" x14ac:dyDescent="0.25">
      <c r="B142" s="209">
        <f t="shared" si="29"/>
        <v>110</v>
      </c>
      <c r="C142" s="283" t="s">
        <v>115</v>
      </c>
      <c r="D142" s="284">
        <v>103.29</v>
      </c>
      <c r="E142" s="285">
        <v>103</v>
      </c>
      <c r="F142" s="284">
        <v>103.29</v>
      </c>
      <c r="G142" s="284">
        <f t="shared" si="28"/>
        <v>0.29000000000000625</v>
      </c>
      <c r="H142" s="285">
        <v>103.29</v>
      </c>
      <c r="I142" s="19" t="s">
        <v>95</v>
      </c>
      <c r="N142" s="285">
        <v>103.29</v>
      </c>
      <c r="O142" s="285">
        <v>103.29</v>
      </c>
      <c r="P142" s="286"/>
      <c r="S142" s="287"/>
    </row>
    <row r="143" spans="2:20" s="35" customFormat="1" ht="27" x14ac:dyDescent="0.25">
      <c r="B143" s="209">
        <f t="shared" si="29"/>
        <v>115</v>
      </c>
      <c r="C143" s="283" t="s">
        <v>116</v>
      </c>
      <c r="D143" s="284">
        <v>51.65</v>
      </c>
      <c r="E143" s="285">
        <v>52</v>
      </c>
      <c r="F143" s="284">
        <v>51.65</v>
      </c>
      <c r="G143" s="284">
        <f t="shared" si="28"/>
        <v>-0.35000000000000142</v>
      </c>
      <c r="H143" s="285">
        <v>51.65</v>
      </c>
      <c r="I143" s="19" t="s">
        <v>95</v>
      </c>
      <c r="N143" s="285">
        <v>51.65</v>
      </c>
      <c r="O143" s="285">
        <v>51.65</v>
      </c>
      <c r="P143" s="286"/>
      <c r="S143" s="287"/>
    </row>
    <row r="144" spans="2:20" s="35" customFormat="1" x14ac:dyDescent="0.25">
      <c r="B144" s="209">
        <f t="shared" si="29"/>
        <v>112</v>
      </c>
      <c r="C144" s="283" t="s">
        <v>117</v>
      </c>
      <c r="D144" s="284">
        <v>51.65</v>
      </c>
      <c r="E144" s="285">
        <v>52</v>
      </c>
      <c r="F144" s="284">
        <v>51.65</v>
      </c>
      <c r="G144" s="284">
        <f t="shared" si="28"/>
        <v>-0.35000000000000142</v>
      </c>
      <c r="H144" s="285">
        <v>51.65</v>
      </c>
      <c r="I144" s="19" t="s">
        <v>95</v>
      </c>
      <c r="N144" s="285">
        <v>51.65</v>
      </c>
      <c r="O144" s="285">
        <v>51.65</v>
      </c>
      <c r="P144" s="286"/>
      <c r="S144" s="287"/>
    </row>
    <row r="145" spans="2:19" s="35" customFormat="1" x14ac:dyDescent="0.25">
      <c r="B145" s="209">
        <f t="shared" si="29"/>
        <v>113</v>
      </c>
      <c r="C145" s="283" t="s">
        <v>118</v>
      </c>
      <c r="D145" s="284">
        <v>129.13</v>
      </c>
      <c r="E145" s="285">
        <v>129</v>
      </c>
      <c r="F145" s="284">
        <v>129.13</v>
      </c>
      <c r="G145" s="284">
        <f t="shared" si="28"/>
        <v>0.12999999999999545</v>
      </c>
      <c r="H145" s="285">
        <v>129.13</v>
      </c>
      <c r="I145" s="19" t="s">
        <v>95</v>
      </c>
      <c r="N145" s="285">
        <v>129.13</v>
      </c>
      <c r="O145" s="285">
        <v>129.13</v>
      </c>
      <c r="P145" s="286"/>
      <c r="S145" s="287"/>
    </row>
    <row r="146" spans="2:19" s="35" customFormat="1" x14ac:dyDescent="0.25">
      <c r="B146" s="209">
        <f t="shared" si="29"/>
        <v>111</v>
      </c>
      <c r="C146" s="283" t="s">
        <v>119</v>
      </c>
      <c r="D146" s="284">
        <v>4488.3599999999997</v>
      </c>
      <c r="E146" s="285">
        <v>4500</v>
      </c>
      <c r="F146" s="284">
        <v>4488.3599999999997</v>
      </c>
      <c r="G146" s="284">
        <f t="shared" si="28"/>
        <v>-11.640000000000327</v>
      </c>
      <c r="H146" s="285">
        <v>4488.3599999999997</v>
      </c>
      <c r="I146" s="19" t="s">
        <v>95</v>
      </c>
      <c r="N146" s="285">
        <v>4488.3599999999997</v>
      </c>
      <c r="O146" s="285">
        <v>4488.3599999999997</v>
      </c>
      <c r="P146" s="286"/>
      <c r="S146" s="287"/>
    </row>
    <row r="147" spans="2:19" s="35" customFormat="1" x14ac:dyDescent="0.25">
      <c r="B147" s="209">
        <f t="shared" si="29"/>
        <v>116</v>
      </c>
      <c r="C147" s="283" t="s">
        <v>120</v>
      </c>
      <c r="D147" s="284">
        <v>129.13</v>
      </c>
      <c r="E147" s="285">
        <v>129</v>
      </c>
      <c r="F147" s="284">
        <v>129.13</v>
      </c>
      <c r="G147" s="284">
        <f t="shared" si="28"/>
        <v>0.12999999999999545</v>
      </c>
      <c r="H147" s="285">
        <v>129.13</v>
      </c>
      <c r="I147" s="19" t="s">
        <v>95</v>
      </c>
      <c r="N147" s="285">
        <v>129.13</v>
      </c>
      <c r="O147" s="285">
        <v>129.13</v>
      </c>
      <c r="P147" s="286"/>
      <c r="S147" s="287"/>
    </row>
    <row r="148" spans="2:19" s="35" customFormat="1" x14ac:dyDescent="0.25">
      <c r="B148" s="209">
        <f t="shared" si="29"/>
        <v>113</v>
      </c>
      <c r="C148" s="283" t="s">
        <v>121</v>
      </c>
      <c r="D148" s="284">
        <v>129.13</v>
      </c>
      <c r="E148" s="285">
        <v>129</v>
      </c>
      <c r="F148" s="284">
        <v>129.13</v>
      </c>
      <c r="G148" s="284">
        <f t="shared" si="28"/>
        <v>0.12999999999999545</v>
      </c>
      <c r="H148" s="285">
        <v>129.13</v>
      </c>
      <c r="I148" s="19" t="s">
        <v>95</v>
      </c>
      <c r="N148" s="285">
        <v>129.13</v>
      </c>
      <c r="O148" s="285">
        <v>129.13</v>
      </c>
      <c r="P148" s="286"/>
      <c r="S148" s="287"/>
    </row>
    <row r="149" spans="2:19" s="35" customFormat="1" x14ac:dyDescent="0.25">
      <c r="B149" s="209">
        <f t="shared" si="29"/>
        <v>114</v>
      </c>
      <c r="C149" s="283" t="s">
        <v>122</v>
      </c>
      <c r="D149" s="284">
        <v>129.11000000000001</v>
      </c>
      <c r="E149" s="285">
        <v>129</v>
      </c>
      <c r="F149" s="284">
        <v>129.11000000000001</v>
      </c>
      <c r="G149" s="284">
        <f t="shared" si="28"/>
        <v>0.11000000000001364</v>
      </c>
      <c r="H149" s="285">
        <v>129.11000000000001</v>
      </c>
      <c r="I149" s="19" t="s">
        <v>95</v>
      </c>
      <c r="N149" s="285">
        <v>129.11000000000001</v>
      </c>
      <c r="O149" s="285">
        <v>129.11000000000001</v>
      </c>
      <c r="P149" s="286"/>
      <c r="S149" s="287"/>
    </row>
    <row r="150" spans="2:19" s="35" customFormat="1" x14ac:dyDescent="0.25">
      <c r="B150" s="209">
        <f t="shared" si="29"/>
        <v>112</v>
      </c>
      <c r="C150" s="283" t="s">
        <v>123</v>
      </c>
      <c r="D150" s="284">
        <v>129.11000000000001</v>
      </c>
      <c r="E150" s="285">
        <v>129</v>
      </c>
      <c r="F150" s="284">
        <v>129.11000000000001</v>
      </c>
      <c r="G150" s="284">
        <f t="shared" si="28"/>
        <v>0.11000000000001364</v>
      </c>
      <c r="H150" s="285">
        <v>129.11000000000001</v>
      </c>
      <c r="I150" s="19" t="s">
        <v>95</v>
      </c>
      <c r="N150" s="285">
        <v>129.11000000000001</v>
      </c>
      <c r="O150" s="285">
        <v>129.11000000000001</v>
      </c>
      <c r="P150" s="286"/>
      <c r="S150" s="287"/>
    </row>
    <row r="151" spans="2:19" s="35" customFormat="1" x14ac:dyDescent="0.25">
      <c r="B151" s="209">
        <f t="shared" si="29"/>
        <v>117</v>
      </c>
      <c r="C151" s="288" t="s">
        <v>124</v>
      </c>
      <c r="D151" s="289">
        <v>1991.4699999999998</v>
      </c>
      <c r="E151" s="290">
        <v>2997</v>
      </c>
      <c r="F151" s="289">
        <v>2007.23</v>
      </c>
      <c r="G151" s="289">
        <f t="shared" si="28"/>
        <v>-989.77</v>
      </c>
      <c r="H151" s="290">
        <v>2007.23</v>
      </c>
      <c r="I151" s="19" t="s">
        <v>95</v>
      </c>
      <c r="N151" s="290">
        <v>2007.23</v>
      </c>
      <c r="O151" s="290">
        <v>2007.23</v>
      </c>
      <c r="P151" s="291"/>
      <c r="S151" s="287"/>
    </row>
    <row r="152" spans="2:19" s="35" customFormat="1" x14ac:dyDescent="0.25">
      <c r="B152" s="209">
        <f t="shared" si="29"/>
        <v>114</v>
      </c>
      <c r="C152" s="288" t="s">
        <v>125</v>
      </c>
      <c r="D152" s="289">
        <v>10224.619999999999</v>
      </c>
      <c r="E152" s="290">
        <v>35371</v>
      </c>
      <c r="F152" s="289">
        <v>18693.62</v>
      </c>
      <c r="G152" s="289">
        <f t="shared" si="28"/>
        <v>-16677.38</v>
      </c>
      <c r="H152" s="290">
        <v>18693.62</v>
      </c>
      <c r="I152" s="19" t="s">
        <v>95</v>
      </c>
      <c r="N152" s="290">
        <v>18693.62</v>
      </c>
      <c r="O152" s="290">
        <v>18693.62</v>
      </c>
      <c r="P152" s="291"/>
      <c r="S152" s="287"/>
    </row>
    <row r="153" spans="2:19" s="35" customFormat="1" x14ac:dyDescent="0.25">
      <c r="B153" s="209">
        <f t="shared" si="29"/>
        <v>115</v>
      </c>
      <c r="C153" s="283" t="s">
        <v>127</v>
      </c>
      <c r="D153" s="284">
        <v>1947.8899999999999</v>
      </c>
      <c r="E153" s="285">
        <v>1853</v>
      </c>
      <c r="F153" s="284">
        <v>1216.3699999999999</v>
      </c>
      <c r="G153" s="284">
        <f t="shared" si="28"/>
        <v>-636.63000000000011</v>
      </c>
      <c r="H153" s="285">
        <v>1216.3699999999999</v>
      </c>
      <c r="I153" s="19" t="s">
        <v>95</v>
      </c>
      <c r="N153" s="285">
        <v>1216.3699999999999</v>
      </c>
      <c r="O153" s="285">
        <v>1216.3699999999999</v>
      </c>
      <c r="P153" s="286"/>
      <c r="S153" s="287"/>
    </row>
    <row r="154" spans="2:19" s="35" customFormat="1" x14ac:dyDescent="0.25">
      <c r="B154" s="209">
        <f t="shared" si="29"/>
        <v>113</v>
      </c>
      <c r="C154" s="283" t="s">
        <v>128</v>
      </c>
      <c r="D154" s="284">
        <v>2001.6100000000001</v>
      </c>
      <c r="E154" s="285">
        <v>1844</v>
      </c>
      <c r="F154" s="284">
        <v>1250.23</v>
      </c>
      <c r="G154" s="284">
        <f t="shared" si="28"/>
        <v>-593.77</v>
      </c>
      <c r="H154" s="285">
        <v>1250.23</v>
      </c>
      <c r="I154" s="19" t="s">
        <v>95</v>
      </c>
      <c r="N154" s="285">
        <v>1250.23</v>
      </c>
      <c r="O154" s="285">
        <v>1250.23</v>
      </c>
      <c r="P154" s="286"/>
      <c r="S154" s="287"/>
    </row>
    <row r="155" spans="2:19" s="35" customFormat="1" x14ac:dyDescent="0.25">
      <c r="B155" s="209">
        <f t="shared" si="29"/>
        <v>118</v>
      </c>
      <c r="C155" s="283" t="s">
        <v>129</v>
      </c>
      <c r="D155" s="284">
        <v>3403.57</v>
      </c>
      <c r="E155" s="285">
        <v>2474</v>
      </c>
      <c r="F155" s="284">
        <v>2396.4899999999998</v>
      </c>
      <c r="G155" s="284">
        <f t="shared" si="28"/>
        <v>-77.510000000000218</v>
      </c>
      <c r="H155" s="285">
        <v>2396.4899999999998</v>
      </c>
      <c r="I155" s="19" t="s">
        <v>95</v>
      </c>
      <c r="N155" s="285">
        <v>2396.4899999999998</v>
      </c>
      <c r="O155" s="285">
        <v>2396.4899999999998</v>
      </c>
      <c r="P155" s="286"/>
      <c r="S155" s="287"/>
    </row>
    <row r="156" spans="2:19" s="35" customFormat="1" x14ac:dyDescent="0.25">
      <c r="B156" s="209">
        <f t="shared" si="29"/>
        <v>115</v>
      </c>
      <c r="C156" s="283" t="s">
        <v>126</v>
      </c>
      <c r="D156" s="284">
        <v>734</v>
      </c>
      <c r="E156" s="285">
        <v>766</v>
      </c>
      <c r="F156" s="284">
        <v>702.11</v>
      </c>
      <c r="G156" s="284">
        <f t="shared" si="28"/>
        <v>-63.889999999999986</v>
      </c>
      <c r="H156" s="285">
        <v>702.11</v>
      </c>
      <c r="I156" s="19" t="s">
        <v>95</v>
      </c>
      <c r="N156" s="285">
        <v>702.11</v>
      </c>
      <c r="O156" s="285">
        <v>702.11</v>
      </c>
      <c r="P156" s="286"/>
      <c r="S156" s="287"/>
    </row>
    <row r="157" spans="2:19" s="35" customFormat="1" x14ac:dyDescent="0.25">
      <c r="B157" s="209">
        <f t="shared" si="29"/>
        <v>116</v>
      </c>
      <c r="C157" s="283" t="s">
        <v>130</v>
      </c>
      <c r="D157" s="284">
        <v>6041</v>
      </c>
      <c r="E157" s="285">
        <v>7797</v>
      </c>
      <c r="F157" s="284">
        <v>6036.8</v>
      </c>
      <c r="G157" s="284">
        <f t="shared" si="28"/>
        <v>-1760.1999999999998</v>
      </c>
      <c r="H157" s="285">
        <v>6036.8</v>
      </c>
      <c r="I157" s="19" t="s">
        <v>95</v>
      </c>
      <c r="N157" s="285">
        <v>6036.8</v>
      </c>
      <c r="O157" s="285">
        <v>6036.8</v>
      </c>
      <c r="P157" s="286"/>
      <c r="S157" s="287"/>
    </row>
    <row r="158" spans="2:19" s="35" customFormat="1" ht="27" x14ac:dyDescent="0.25">
      <c r="B158" s="209">
        <f t="shared" si="29"/>
        <v>114</v>
      </c>
      <c r="C158" s="283" t="s">
        <v>131</v>
      </c>
      <c r="D158" s="284">
        <v>69</v>
      </c>
      <c r="E158" s="285">
        <v>69</v>
      </c>
      <c r="F158" s="284">
        <v>69</v>
      </c>
      <c r="G158" s="284">
        <f t="shared" si="28"/>
        <v>0</v>
      </c>
      <c r="H158" s="285">
        <v>69</v>
      </c>
      <c r="I158" s="19" t="s">
        <v>95</v>
      </c>
      <c r="N158" s="285">
        <v>69</v>
      </c>
      <c r="O158" s="285">
        <v>69</v>
      </c>
      <c r="P158" s="286"/>
      <c r="S158" s="287"/>
    </row>
    <row r="159" spans="2:19" s="35" customFormat="1" ht="27" x14ac:dyDescent="0.25">
      <c r="B159" s="209">
        <f t="shared" si="29"/>
        <v>119</v>
      </c>
      <c r="C159" s="283" t="s">
        <v>132</v>
      </c>
      <c r="D159" s="284">
        <v>68.989999999999995</v>
      </c>
      <c r="E159" s="285">
        <v>69</v>
      </c>
      <c r="F159" s="284">
        <v>68.989999999999995</v>
      </c>
      <c r="G159" s="284">
        <f t="shared" si="28"/>
        <v>-1.0000000000005116E-2</v>
      </c>
      <c r="H159" s="285">
        <v>68.989999999999995</v>
      </c>
      <c r="I159" s="19" t="s">
        <v>95</v>
      </c>
      <c r="N159" s="285">
        <v>68.989999999999995</v>
      </c>
      <c r="O159" s="285">
        <v>68.989999999999995</v>
      </c>
      <c r="P159" s="286"/>
      <c r="S159" s="287"/>
    </row>
    <row r="160" spans="2:19" s="35" customFormat="1" x14ac:dyDescent="0.25">
      <c r="B160" s="209">
        <f t="shared" si="29"/>
        <v>116</v>
      </c>
      <c r="C160" s="288" t="s">
        <v>133</v>
      </c>
      <c r="D160" s="289">
        <v>1585.03</v>
      </c>
      <c r="E160" s="290">
        <v>1594</v>
      </c>
      <c r="F160" s="289">
        <v>1585.03</v>
      </c>
      <c r="G160" s="289">
        <f t="shared" si="28"/>
        <v>-8.9700000000000273</v>
      </c>
      <c r="H160" s="290">
        <v>1585.03</v>
      </c>
      <c r="I160" s="19" t="s">
        <v>95</v>
      </c>
      <c r="N160" s="290">
        <v>1585.03</v>
      </c>
      <c r="O160" s="290">
        <v>1585.03</v>
      </c>
      <c r="P160" s="291"/>
      <c r="S160" s="287"/>
    </row>
    <row r="161" spans="2:20" s="35" customFormat="1" x14ac:dyDescent="0.25">
      <c r="B161" s="209"/>
      <c r="C161" s="283" t="s">
        <v>759</v>
      </c>
      <c r="D161" s="284">
        <v>250</v>
      </c>
      <c r="E161" s="285">
        <v>0</v>
      </c>
      <c r="F161" s="284">
        <v>343.61</v>
      </c>
      <c r="G161" s="284">
        <f t="shared" si="28"/>
        <v>343.61</v>
      </c>
      <c r="H161" s="285">
        <v>343.61</v>
      </c>
      <c r="I161" s="19" t="s">
        <v>95</v>
      </c>
      <c r="N161" s="285">
        <v>343.61</v>
      </c>
      <c r="O161" s="285">
        <v>343.61</v>
      </c>
      <c r="P161" s="286"/>
      <c r="S161" s="287"/>
    </row>
    <row r="162" spans="2:20" ht="18.75" x14ac:dyDescent="0.3">
      <c r="B162" s="231">
        <f>B157+1</f>
        <v>117</v>
      </c>
      <c r="C162" s="292" t="s">
        <v>134</v>
      </c>
      <c r="D162" s="280">
        <v>116578.41</v>
      </c>
      <c r="E162" s="293">
        <f>SUM(E136:E161)</f>
        <v>144698</v>
      </c>
      <c r="F162" s="294">
        <f>SUM(F136:F161)</f>
        <v>123790.54</v>
      </c>
      <c r="G162" s="294">
        <f>F162-E162</f>
        <v>-20907.460000000006</v>
      </c>
      <c r="H162" s="280">
        <f>SUM(H136:H161)</f>
        <v>123790.54</v>
      </c>
      <c r="I162" s="19" t="s">
        <v>95</v>
      </c>
      <c r="N162" s="280">
        <f>SUM(N136:N161)</f>
        <v>123790.54</v>
      </c>
      <c r="O162" s="280">
        <f>SUM(O136:O161)</f>
        <v>123790.54</v>
      </c>
      <c r="P162" s="282"/>
    </row>
    <row r="163" spans="2:20" ht="27" x14ac:dyDescent="0.25">
      <c r="B163" s="231">
        <f>B158+1</f>
        <v>115</v>
      </c>
      <c r="C163" s="295" t="s">
        <v>760</v>
      </c>
      <c r="D163" s="296">
        <v>13974.2</v>
      </c>
      <c r="E163" s="297">
        <v>10104</v>
      </c>
      <c r="F163" s="296">
        <v>8624.2000000000007</v>
      </c>
      <c r="G163" s="296">
        <f>F163-E163</f>
        <v>-1479.7999999999993</v>
      </c>
      <c r="H163" s="298">
        <v>25000</v>
      </c>
      <c r="I163" s="299" t="s">
        <v>95</v>
      </c>
      <c r="J163" s="299"/>
      <c r="K163" s="299"/>
      <c r="L163" s="299"/>
      <c r="M163" s="299"/>
      <c r="N163" s="298">
        <f>H163</f>
        <v>25000</v>
      </c>
      <c r="O163" s="296"/>
      <c r="P163" s="300"/>
      <c r="Q163" t="s">
        <v>761</v>
      </c>
      <c r="S163" s="254">
        <v>8624</v>
      </c>
    </row>
    <row r="164" spans="2:20" x14ac:dyDescent="0.25">
      <c r="B164" s="231">
        <f>B159+1</f>
        <v>120</v>
      </c>
      <c r="C164" s="269" t="s">
        <v>135</v>
      </c>
      <c r="D164" s="296">
        <v>0</v>
      </c>
      <c r="E164" s="297">
        <v>12600</v>
      </c>
      <c r="F164" s="296">
        <v>0</v>
      </c>
      <c r="G164" s="296">
        <f t="shared" ref="G164:G188" si="30">F164-E164</f>
        <v>-12600</v>
      </c>
      <c r="H164" s="296">
        <f t="shared" ref="H164:H186" si="31">F164</f>
        <v>0</v>
      </c>
      <c r="I164" s="19" t="s">
        <v>95</v>
      </c>
      <c r="N164" s="296">
        <f t="shared" ref="N164:N188" si="32">H164</f>
        <v>0</v>
      </c>
      <c r="O164" s="296">
        <f t="shared" ref="O164:O188" si="33">M164</f>
        <v>0</v>
      </c>
      <c r="P164" s="300"/>
    </row>
    <row r="165" spans="2:20" x14ac:dyDescent="0.25">
      <c r="B165" s="231">
        <f>B160+1</f>
        <v>117</v>
      </c>
      <c r="C165" s="295" t="s">
        <v>762</v>
      </c>
      <c r="D165" s="296">
        <v>20008.39</v>
      </c>
      <c r="E165" s="297">
        <v>8384</v>
      </c>
      <c r="F165" s="296">
        <v>19508.39</v>
      </c>
      <c r="G165" s="296">
        <f t="shared" si="30"/>
        <v>11124.39</v>
      </c>
      <c r="H165" s="298">
        <v>50000</v>
      </c>
      <c r="I165" s="299"/>
      <c r="J165" s="299"/>
      <c r="K165" s="299"/>
      <c r="L165" s="299"/>
      <c r="M165" s="299"/>
      <c r="N165" s="298">
        <v>100000</v>
      </c>
      <c r="O165" s="298">
        <v>100000</v>
      </c>
      <c r="P165" s="300"/>
      <c r="Q165" t="s">
        <v>763</v>
      </c>
      <c r="S165" s="271">
        <v>100000</v>
      </c>
      <c r="T165" t="s">
        <v>764</v>
      </c>
    </row>
    <row r="166" spans="2:20" ht="27" x14ac:dyDescent="0.25">
      <c r="B166" s="231">
        <f t="shared" si="29"/>
        <v>118</v>
      </c>
      <c r="C166" s="295" t="s">
        <v>765</v>
      </c>
      <c r="D166" s="296">
        <v>6561.2800000000007</v>
      </c>
      <c r="E166" s="297">
        <v>7216</v>
      </c>
      <c r="F166" s="296">
        <v>7329.48</v>
      </c>
      <c r="G166" s="296">
        <f t="shared" si="30"/>
        <v>113.47999999999956</v>
      </c>
      <c r="H166" s="298">
        <v>20000</v>
      </c>
      <c r="I166" s="299" t="s">
        <v>95</v>
      </c>
      <c r="J166" s="299"/>
      <c r="K166" s="299"/>
      <c r="L166" s="299"/>
      <c r="M166" s="299"/>
      <c r="N166" s="298">
        <v>20000</v>
      </c>
      <c r="O166" s="298">
        <f>H166</f>
        <v>20000</v>
      </c>
      <c r="P166" s="300"/>
      <c r="Q166" t="s">
        <v>766</v>
      </c>
    </row>
    <row r="167" spans="2:20" x14ac:dyDescent="0.25">
      <c r="B167" s="231">
        <f t="shared" si="29"/>
        <v>116</v>
      </c>
      <c r="C167" s="269" t="s">
        <v>767</v>
      </c>
      <c r="D167" s="296">
        <v>0</v>
      </c>
      <c r="E167" s="297">
        <v>0</v>
      </c>
      <c r="F167" s="296">
        <v>0</v>
      </c>
      <c r="G167" s="296">
        <f t="shared" si="30"/>
        <v>0</v>
      </c>
      <c r="H167" s="296">
        <f t="shared" si="31"/>
        <v>0</v>
      </c>
      <c r="I167" s="19" t="s">
        <v>95</v>
      </c>
      <c r="N167" s="296">
        <f t="shared" si="32"/>
        <v>0</v>
      </c>
      <c r="O167" s="296">
        <f t="shared" si="33"/>
        <v>0</v>
      </c>
      <c r="P167" s="300"/>
    </row>
    <row r="168" spans="2:20" ht="27" x14ac:dyDescent="0.25">
      <c r="B168" s="231">
        <f t="shared" si="29"/>
        <v>121</v>
      </c>
      <c r="C168" s="269" t="s">
        <v>136</v>
      </c>
      <c r="D168" s="296">
        <v>0</v>
      </c>
      <c r="E168" s="297">
        <v>3895</v>
      </c>
      <c r="F168" s="296">
        <v>0</v>
      </c>
      <c r="G168" s="296">
        <f t="shared" si="30"/>
        <v>-3895</v>
      </c>
      <c r="H168" s="296">
        <f t="shared" si="31"/>
        <v>0</v>
      </c>
      <c r="I168" s="19" t="s">
        <v>95</v>
      </c>
      <c r="N168" s="296">
        <f t="shared" si="32"/>
        <v>0</v>
      </c>
      <c r="O168" s="296">
        <f t="shared" si="33"/>
        <v>0</v>
      </c>
      <c r="P168" s="300"/>
    </row>
    <row r="169" spans="2:20" x14ac:dyDescent="0.25">
      <c r="B169" s="231">
        <f t="shared" si="29"/>
        <v>118</v>
      </c>
      <c r="C169" s="269" t="s">
        <v>768</v>
      </c>
      <c r="D169" s="296">
        <v>1800</v>
      </c>
      <c r="E169" s="297">
        <v>0</v>
      </c>
      <c r="F169" s="296">
        <v>1800</v>
      </c>
      <c r="G169" s="296">
        <f t="shared" si="30"/>
        <v>1800</v>
      </c>
      <c r="H169" s="296"/>
      <c r="I169" s="19" t="s">
        <v>95</v>
      </c>
      <c r="N169" s="296">
        <f t="shared" si="32"/>
        <v>0</v>
      </c>
      <c r="O169" s="296">
        <f>H169</f>
        <v>0</v>
      </c>
      <c r="P169" s="300"/>
    </row>
    <row r="170" spans="2:20" x14ac:dyDescent="0.25">
      <c r="B170" s="231">
        <f t="shared" si="29"/>
        <v>119</v>
      </c>
      <c r="C170" s="269" t="s">
        <v>137</v>
      </c>
      <c r="D170" s="296">
        <v>1000</v>
      </c>
      <c r="E170" s="297">
        <v>3286</v>
      </c>
      <c r="F170" s="296">
        <v>2058</v>
      </c>
      <c r="G170" s="296">
        <f t="shared" si="30"/>
        <v>-1228</v>
      </c>
      <c r="H170" s="296">
        <f t="shared" si="31"/>
        <v>2058</v>
      </c>
      <c r="I170" s="19" t="s">
        <v>95</v>
      </c>
      <c r="N170" s="296">
        <f t="shared" si="32"/>
        <v>2058</v>
      </c>
      <c r="O170" s="296">
        <f>H170</f>
        <v>2058</v>
      </c>
      <c r="P170" s="300"/>
      <c r="Q170" t="s">
        <v>758</v>
      </c>
    </row>
    <row r="171" spans="2:20" x14ac:dyDescent="0.25">
      <c r="B171" s="231">
        <f t="shared" si="29"/>
        <v>117</v>
      </c>
      <c r="C171" s="269" t="s">
        <v>138</v>
      </c>
      <c r="D171" s="296">
        <v>10439.01</v>
      </c>
      <c r="E171" s="297">
        <v>8119</v>
      </c>
      <c r="F171" s="296">
        <v>5139.01</v>
      </c>
      <c r="G171" s="296">
        <f t="shared" si="30"/>
        <v>-2979.99</v>
      </c>
      <c r="H171" s="296"/>
      <c r="I171" s="19" t="s">
        <v>95</v>
      </c>
      <c r="N171" s="296"/>
      <c r="O171" s="296"/>
      <c r="P171" s="300"/>
    </row>
    <row r="172" spans="2:20" x14ac:dyDescent="0.25">
      <c r="B172" s="231">
        <f t="shared" si="29"/>
        <v>122</v>
      </c>
      <c r="C172" s="269" t="s">
        <v>139</v>
      </c>
      <c r="D172" s="296">
        <v>856.2</v>
      </c>
      <c r="E172" s="297">
        <v>96926</v>
      </c>
      <c r="F172" s="296">
        <v>60606.2</v>
      </c>
      <c r="G172" s="296">
        <f t="shared" si="30"/>
        <v>-36319.800000000003</v>
      </c>
      <c r="H172" s="296"/>
      <c r="I172" s="19" t="s">
        <v>95</v>
      </c>
      <c r="N172" s="296">
        <f t="shared" si="32"/>
        <v>0</v>
      </c>
      <c r="O172" s="296"/>
      <c r="P172" s="300"/>
    </row>
    <row r="173" spans="2:20" ht="27" x14ac:dyDescent="0.25">
      <c r="B173" s="231">
        <f t="shared" si="29"/>
        <v>119</v>
      </c>
      <c r="C173" s="295" t="s">
        <v>769</v>
      </c>
      <c r="D173" s="296">
        <v>4396.5</v>
      </c>
      <c r="E173" s="297">
        <v>42807</v>
      </c>
      <c r="F173" s="296">
        <v>7494.7</v>
      </c>
      <c r="G173" s="296">
        <f t="shared" si="30"/>
        <v>-35312.300000000003</v>
      </c>
      <c r="H173" s="298">
        <v>20000</v>
      </c>
      <c r="I173" s="299" t="s">
        <v>95</v>
      </c>
      <c r="J173" s="299"/>
      <c r="K173" s="299"/>
      <c r="L173" s="299"/>
      <c r="M173" s="299"/>
      <c r="N173" s="298">
        <v>20000</v>
      </c>
      <c r="O173" s="298">
        <v>20000</v>
      </c>
      <c r="P173" s="300"/>
      <c r="Q173" t="s">
        <v>742</v>
      </c>
    </row>
    <row r="174" spans="2:20" ht="27" x14ac:dyDescent="0.25">
      <c r="B174" s="231">
        <f t="shared" si="29"/>
        <v>120</v>
      </c>
      <c r="C174" s="295" t="s">
        <v>770</v>
      </c>
      <c r="D174" s="296">
        <v>13782.810000000001</v>
      </c>
      <c r="E174" s="297">
        <v>10834</v>
      </c>
      <c r="F174" s="296">
        <v>21796.65</v>
      </c>
      <c r="G174" s="296">
        <f t="shared" si="30"/>
        <v>10962.650000000001</v>
      </c>
      <c r="H174" s="298">
        <v>20000</v>
      </c>
      <c r="I174" s="299" t="s">
        <v>95</v>
      </c>
      <c r="J174" s="299"/>
      <c r="K174" s="299"/>
      <c r="L174" s="299"/>
      <c r="M174" s="299"/>
      <c r="N174" s="298">
        <v>20000</v>
      </c>
      <c r="O174" s="298">
        <v>20000</v>
      </c>
      <c r="P174" s="300"/>
    </row>
    <row r="175" spans="2:20" ht="27" x14ac:dyDescent="0.25">
      <c r="B175" s="231">
        <f t="shared" si="29"/>
        <v>118</v>
      </c>
      <c r="C175" s="269" t="s">
        <v>140</v>
      </c>
      <c r="D175" s="296">
        <v>12819.07</v>
      </c>
      <c r="E175" s="297">
        <v>25197</v>
      </c>
      <c r="F175" s="296">
        <v>21365.47</v>
      </c>
      <c r="G175" s="296">
        <f t="shared" si="30"/>
        <v>-3831.5299999999988</v>
      </c>
      <c r="H175" s="296">
        <f t="shared" si="31"/>
        <v>21365.47</v>
      </c>
      <c r="I175" s="19" t="s">
        <v>95</v>
      </c>
      <c r="N175" s="296">
        <f t="shared" si="32"/>
        <v>21365.47</v>
      </c>
      <c r="O175" s="296">
        <f>H175</f>
        <v>21365.47</v>
      </c>
      <c r="P175" s="300"/>
      <c r="Q175" t="s">
        <v>771</v>
      </c>
    </row>
    <row r="176" spans="2:20" ht="27" x14ac:dyDescent="0.25">
      <c r="B176" s="231">
        <f t="shared" si="29"/>
        <v>123</v>
      </c>
      <c r="C176" s="295" t="s">
        <v>772</v>
      </c>
      <c r="D176" s="296">
        <v>325538.44</v>
      </c>
      <c r="E176" s="297">
        <v>386645</v>
      </c>
      <c r="F176" s="296">
        <v>145425.72</v>
      </c>
      <c r="G176" s="296">
        <f t="shared" si="30"/>
        <v>-241219.28</v>
      </c>
      <c r="H176" s="298">
        <f>238000-100000</f>
        <v>138000</v>
      </c>
      <c r="I176" s="299" t="s">
        <v>95</v>
      </c>
      <c r="J176" s="299"/>
      <c r="K176" s="299"/>
      <c r="L176" s="299"/>
      <c r="M176" s="299"/>
      <c r="N176" s="298">
        <f>125000</f>
        <v>125000</v>
      </c>
      <c r="O176" s="298">
        <v>125000</v>
      </c>
      <c r="P176" s="300"/>
      <c r="Q176" t="s">
        <v>773</v>
      </c>
    </row>
    <row r="177" spans="2:18" ht="27" x14ac:dyDescent="0.25">
      <c r="B177" s="231"/>
      <c r="C177" s="295" t="s">
        <v>774</v>
      </c>
      <c r="D177" s="296"/>
      <c r="E177" s="297"/>
      <c r="F177" s="296">
        <v>5215.62</v>
      </c>
      <c r="G177" s="296">
        <f t="shared" si="30"/>
        <v>5215.62</v>
      </c>
      <c r="H177" s="298">
        <v>20000</v>
      </c>
      <c r="I177" s="299" t="s">
        <v>95</v>
      </c>
      <c r="J177" s="299"/>
      <c r="K177" s="299"/>
      <c r="L177" s="299"/>
      <c r="M177" s="299"/>
      <c r="N177" s="298">
        <v>0</v>
      </c>
      <c r="O177" s="298">
        <v>0</v>
      </c>
      <c r="P177" s="300"/>
    </row>
    <row r="178" spans="2:18" ht="27" x14ac:dyDescent="0.25">
      <c r="B178" s="231"/>
      <c r="C178" s="295" t="s">
        <v>775</v>
      </c>
      <c r="D178" s="296"/>
      <c r="E178" s="297"/>
      <c r="F178" s="296"/>
      <c r="G178" s="296"/>
      <c r="H178" s="298">
        <v>22500</v>
      </c>
      <c r="I178" s="299"/>
      <c r="J178" s="299"/>
      <c r="K178" s="299"/>
      <c r="L178" s="299"/>
      <c r="M178" s="299"/>
      <c r="N178" s="298">
        <v>0</v>
      </c>
      <c r="O178" s="298">
        <v>0</v>
      </c>
      <c r="P178" s="300"/>
    </row>
    <row r="179" spans="2:18" ht="27" x14ac:dyDescent="0.25">
      <c r="B179" s="231">
        <f>B173+1</f>
        <v>120</v>
      </c>
      <c r="C179" s="269" t="s">
        <v>141</v>
      </c>
      <c r="D179" s="296">
        <v>0</v>
      </c>
      <c r="E179" s="297">
        <v>8522</v>
      </c>
      <c r="F179" s="296">
        <v>0</v>
      </c>
      <c r="G179" s="296">
        <f t="shared" si="30"/>
        <v>-8522</v>
      </c>
      <c r="H179" s="296">
        <f t="shared" si="31"/>
        <v>0</v>
      </c>
      <c r="I179" s="19" t="s">
        <v>95</v>
      </c>
      <c r="N179" s="296">
        <f t="shared" si="32"/>
        <v>0</v>
      </c>
      <c r="O179" s="296">
        <f t="shared" si="33"/>
        <v>0</v>
      </c>
      <c r="P179" s="300"/>
    </row>
    <row r="180" spans="2:18" ht="27" x14ac:dyDescent="0.25">
      <c r="B180" s="231">
        <f>B174+1</f>
        <v>121</v>
      </c>
      <c r="C180" s="269" t="s">
        <v>776</v>
      </c>
      <c r="D180" s="296">
        <v>0</v>
      </c>
      <c r="E180" s="297">
        <v>0</v>
      </c>
      <c r="F180" s="296">
        <v>0</v>
      </c>
      <c r="G180" s="296">
        <f t="shared" si="30"/>
        <v>0</v>
      </c>
      <c r="H180" s="296">
        <f t="shared" si="31"/>
        <v>0</v>
      </c>
      <c r="I180" s="19" t="s">
        <v>95</v>
      </c>
      <c r="N180" s="296">
        <f t="shared" si="32"/>
        <v>0</v>
      </c>
      <c r="O180" s="296">
        <f t="shared" si="33"/>
        <v>0</v>
      </c>
      <c r="P180" s="300"/>
    </row>
    <row r="181" spans="2:18" x14ac:dyDescent="0.25">
      <c r="B181" s="231">
        <f>B175+1</f>
        <v>119</v>
      </c>
      <c r="C181" s="269" t="s">
        <v>142</v>
      </c>
      <c r="D181" s="296">
        <v>4466.5899999999992</v>
      </c>
      <c r="E181" s="297">
        <v>4474</v>
      </c>
      <c r="F181" s="296">
        <v>4292.8100000000004</v>
      </c>
      <c r="G181" s="296">
        <f t="shared" si="30"/>
        <v>-181.1899999999996</v>
      </c>
      <c r="H181" s="296">
        <f t="shared" si="31"/>
        <v>4292.8100000000004</v>
      </c>
      <c r="I181" s="19" t="s">
        <v>95</v>
      </c>
      <c r="N181" s="296">
        <f t="shared" si="32"/>
        <v>4292.8100000000004</v>
      </c>
      <c r="O181" s="296">
        <f>N181</f>
        <v>4292.8100000000004</v>
      </c>
      <c r="P181" s="300"/>
      <c r="Q181" t="s">
        <v>777</v>
      </c>
    </row>
    <row r="182" spans="2:18" x14ac:dyDescent="0.25">
      <c r="B182" s="231">
        <f>B176+1</f>
        <v>124</v>
      </c>
      <c r="C182" s="269" t="s">
        <v>778</v>
      </c>
      <c r="D182" s="296">
        <v>0</v>
      </c>
      <c r="E182" s="297">
        <v>0</v>
      </c>
      <c r="F182" s="296">
        <v>0</v>
      </c>
      <c r="G182" s="296">
        <f t="shared" si="30"/>
        <v>0</v>
      </c>
      <c r="H182" s="296">
        <f t="shared" si="31"/>
        <v>0</v>
      </c>
      <c r="I182" s="19" t="s">
        <v>95</v>
      </c>
      <c r="N182" s="296">
        <f t="shared" si="32"/>
        <v>0</v>
      </c>
      <c r="O182" s="296">
        <f t="shared" si="33"/>
        <v>0</v>
      </c>
      <c r="P182" s="300"/>
    </row>
    <row r="183" spans="2:18" x14ac:dyDescent="0.25">
      <c r="B183" s="231">
        <f t="shared" si="29"/>
        <v>121</v>
      </c>
      <c r="C183" s="269" t="s">
        <v>143</v>
      </c>
      <c r="D183" s="296">
        <v>16702.41</v>
      </c>
      <c r="E183" s="297">
        <v>14007</v>
      </c>
      <c r="F183" s="296">
        <v>20028.830000000002</v>
      </c>
      <c r="G183" s="296">
        <f t="shared" si="30"/>
        <v>6021.8300000000017</v>
      </c>
      <c r="H183" s="296">
        <f t="shared" si="31"/>
        <v>20028.830000000002</v>
      </c>
      <c r="I183" s="19" t="s">
        <v>95</v>
      </c>
      <c r="N183" s="296">
        <f t="shared" si="32"/>
        <v>20028.830000000002</v>
      </c>
      <c r="O183" s="296">
        <f>N183</f>
        <v>20028.830000000002</v>
      </c>
      <c r="P183" s="300"/>
      <c r="Q183" t="s">
        <v>779</v>
      </c>
      <c r="R183" t="s">
        <v>741</v>
      </c>
    </row>
    <row r="184" spans="2:18" x14ac:dyDescent="0.25">
      <c r="B184" s="231">
        <f t="shared" si="29"/>
        <v>122</v>
      </c>
      <c r="C184" s="269" t="s">
        <v>780</v>
      </c>
      <c r="D184" s="296">
        <v>0</v>
      </c>
      <c r="E184" s="297">
        <v>0</v>
      </c>
      <c r="F184" s="296">
        <v>0</v>
      </c>
      <c r="G184" s="296">
        <f t="shared" si="30"/>
        <v>0</v>
      </c>
      <c r="H184" s="296">
        <f t="shared" si="31"/>
        <v>0</v>
      </c>
      <c r="I184" s="19" t="s">
        <v>95</v>
      </c>
      <c r="N184" s="296">
        <f t="shared" si="32"/>
        <v>0</v>
      </c>
      <c r="O184" s="296">
        <f t="shared" si="33"/>
        <v>0</v>
      </c>
      <c r="P184" s="300"/>
    </row>
    <row r="185" spans="2:18" ht="27" x14ac:dyDescent="0.25">
      <c r="B185" s="231">
        <f t="shared" si="29"/>
        <v>120</v>
      </c>
      <c r="C185" s="269" t="s">
        <v>144</v>
      </c>
      <c r="D185" s="296">
        <v>0</v>
      </c>
      <c r="E185" s="297">
        <v>4837</v>
      </c>
      <c r="F185" s="296">
        <v>0</v>
      </c>
      <c r="G185" s="296">
        <f t="shared" si="30"/>
        <v>-4837</v>
      </c>
      <c r="H185" s="296">
        <f t="shared" si="31"/>
        <v>0</v>
      </c>
      <c r="I185" s="19" t="s">
        <v>95</v>
      </c>
      <c r="N185" s="296">
        <f t="shared" si="32"/>
        <v>0</v>
      </c>
      <c r="O185" s="296">
        <f t="shared" si="33"/>
        <v>0</v>
      </c>
      <c r="P185" s="300"/>
    </row>
    <row r="186" spans="2:18" ht="27" x14ac:dyDescent="0.25">
      <c r="B186" s="231">
        <f t="shared" si="29"/>
        <v>125</v>
      </c>
      <c r="C186" s="269" t="s">
        <v>781</v>
      </c>
      <c r="D186" s="296">
        <v>0</v>
      </c>
      <c r="E186" s="297">
        <v>0</v>
      </c>
      <c r="F186" s="296">
        <v>0</v>
      </c>
      <c r="G186" s="296">
        <f t="shared" si="30"/>
        <v>0</v>
      </c>
      <c r="H186" s="296">
        <f t="shared" si="31"/>
        <v>0</v>
      </c>
      <c r="I186" s="19" t="s">
        <v>95</v>
      </c>
      <c r="N186" s="296">
        <f t="shared" si="32"/>
        <v>0</v>
      </c>
      <c r="O186" s="296">
        <f t="shared" si="33"/>
        <v>0</v>
      </c>
      <c r="P186" s="300"/>
    </row>
    <row r="187" spans="2:18" ht="27" x14ac:dyDescent="0.25">
      <c r="B187" s="231">
        <f t="shared" si="29"/>
        <v>122</v>
      </c>
      <c r="C187" s="269" t="s">
        <v>145</v>
      </c>
      <c r="D187" s="296">
        <v>6062.98</v>
      </c>
      <c r="E187" s="297">
        <v>4424</v>
      </c>
      <c r="F187" s="296">
        <v>6062.98</v>
      </c>
      <c r="G187" s="296">
        <f t="shared" si="30"/>
        <v>1638.9799999999996</v>
      </c>
      <c r="H187" s="296"/>
      <c r="I187" s="19" t="s">
        <v>95</v>
      </c>
      <c r="J187" s="241"/>
      <c r="N187" s="296">
        <f t="shared" si="32"/>
        <v>0</v>
      </c>
      <c r="O187" s="296">
        <f t="shared" si="33"/>
        <v>0</v>
      </c>
      <c r="P187" s="300"/>
      <c r="Q187" s="241"/>
      <c r="R187" s="241"/>
    </row>
    <row r="188" spans="2:18" ht="27" x14ac:dyDescent="0.25">
      <c r="B188" s="231">
        <f t="shared" si="29"/>
        <v>123</v>
      </c>
      <c r="C188" s="269" t="s">
        <v>146</v>
      </c>
      <c r="D188" s="296">
        <v>105865.52</v>
      </c>
      <c r="E188" s="297">
        <v>91770</v>
      </c>
      <c r="F188" s="296">
        <v>105865.52</v>
      </c>
      <c r="G188" s="296">
        <f t="shared" si="30"/>
        <v>14095.520000000004</v>
      </c>
      <c r="H188" s="296"/>
      <c r="I188" s="19" t="s">
        <v>95</v>
      </c>
      <c r="N188" s="296">
        <f t="shared" si="32"/>
        <v>0</v>
      </c>
      <c r="O188" s="296">
        <f t="shared" si="33"/>
        <v>0</v>
      </c>
      <c r="P188" s="300"/>
      <c r="Q188" t="s">
        <v>782</v>
      </c>
    </row>
    <row r="189" spans="2:18" x14ac:dyDescent="0.25">
      <c r="B189" s="231"/>
      <c r="C189" s="301" t="s">
        <v>783</v>
      </c>
      <c r="D189" s="302"/>
      <c r="E189" s="303"/>
      <c r="F189" s="302"/>
      <c r="G189" s="296"/>
      <c r="H189" s="296"/>
      <c r="I189" s="19"/>
      <c r="N189" s="296"/>
      <c r="O189" s="296"/>
      <c r="P189" s="300"/>
    </row>
    <row r="190" spans="2:18" ht="37.5" customHeight="1" x14ac:dyDescent="0.25">
      <c r="B190" s="231"/>
      <c r="C190" s="295" t="s">
        <v>784</v>
      </c>
      <c r="D190" s="296"/>
      <c r="E190" s="297"/>
      <c r="F190" s="296"/>
      <c r="G190" s="296"/>
      <c r="H190" s="298">
        <v>30000</v>
      </c>
      <c r="I190" s="299"/>
      <c r="J190" s="299"/>
      <c r="K190" s="299"/>
      <c r="L190" s="299"/>
      <c r="M190" s="299"/>
      <c r="N190" s="298">
        <v>30000</v>
      </c>
      <c r="O190" s="298">
        <v>30000</v>
      </c>
      <c r="P190" s="300"/>
    </row>
    <row r="191" spans="2:18" x14ac:dyDescent="0.25">
      <c r="B191" s="231"/>
      <c r="C191" s="295" t="s">
        <v>785</v>
      </c>
      <c r="D191" s="296"/>
      <c r="E191" s="297"/>
      <c r="F191" s="296"/>
      <c r="G191" s="296"/>
      <c r="H191" s="298">
        <v>30000</v>
      </c>
      <c r="I191" s="299"/>
      <c r="J191" s="299"/>
      <c r="K191" s="299"/>
      <c r="L191" s="299"/>
      <c r="M191" s="299"/>
      <c r="N191" s="298">
        <v>30000</v>
      </c>
      <c r="O191" s="298">
        <v>30000</v>
      </c>
      <c r="P191" s="300"/>
    </row>
    <row r="192" spans="2:18" ht="18.75" x14ac:dyDescent="0.3">
      <c r="B192" s="231">
        <f>B185+1</f>
        <v>121</v>
      </c>
      <c r="C192" s="292" t="s">
        <v>147</v>
      </c>
      <c r="D192" s="304">
        <v>544273.4</v>
      </c>
      <c r="E192" s="305">
        <f>SUM(E163:E191)</f>
        <v>744047</v>
      </c>
      <c r="F192" s="304">
        <f>SUM(F163:F191)</f>
        <v>442613.58</v>
      </c>
      <c r="G192" s="304">
        <f t="shared" ref="G192" si="34">SUM(G163:L191)</f>
        <v>121811.68999999999</v>
      </c>
      <c r="H192" s="304">
        <f>SUM(H163:M191)</f>
        <v>423245.11</v>
      </c>
      <c r="I192" s="304">
        <f t="shared" ref="I192:O192" si="35">SUM(I163:N191)</f>
        <v>417745.11</v>
      </c>
      <c r="J192" s="304">
        <f t="shared" si="35"/>
        <v>810490.22</v>
      </c>
      <c r="K192" s="304">
        <f t="shared" si="35"/>
        <v>810490.22</v>
      </c>
      <c r="L192" s="304">
        <f t="shared" si="35"/>
        <v>810490.22</v>
      </c>
      <c r="M192" s="304">
        <f t="shared" si="35"/>
        <v>810490.22</v>
      </c>
      <c r="N192" s="304">
        <f t="shared" si="35"/>
        <v>919114.22</v>
      </c>
      <c r="O192" s="304">
        <f t="shared" si="35"/>
        <v>501369.11</v>
      </c>
      <c r="P192" s="306"/>
    </row>
    <row r="193" spans="2:20" x14ac:dyDescent="0.25">
      <c r="B193" s="231">
        <f>B186+1</f>
        <v>126</v>
      </c>
      <c r="C193" s="53" t="s">
        <v>148</v>
      </c>
      <c r="D193" s="307">
        <v>69933.5</v>
      </c>
      <c r="E193" s="308">
        <v>77836</v>
      </c>
      <c r="F193" s="307">
        <v>69933.5</v>
      </c>
      <c r="G193" s="307">
        <f>F193-E193</f>
        <v>-7902.5</v>
      </c>
      <c r="H193" s="307">
        <f>S193</f>
        <v>71316</v>
      </c>
      <c r="I193" s="19" t="s">
        <v>95</v>
      </c>
      <c r="N193" s="307">
        <f>H193</f>
        <v>71316</v>
      </c>
      <c r="O193" s="307">
        <f>H193</f>
        <v>71316</v>
      </c>
      <c r="P193" s="309"/>
      <c r="Q193" t="s">
        <v>786</v>
      </c>
      <c r="R193" s="258">
        <v>45291</v>
      </c>
      <c r="S193" s="254">
        <v>71316</v>
      </c>
      <c r="T193" t="s">
        <v>787</v>
      </c>
    </row>
    <row r="194" spans="2:20" x14ac:dyDescent="0.25">
      <c r="B194" s="231">
        <f>B187+1</f>
        <v>123</v>
      </c>
      <c r="C194" s="53" t="s">
        <v>149</v>
      </c>
      <c r="D194" s="307">
        <v>960</v>
      </c>
      <c r="E194" s="308">
        <v>960</v>
      </c>
      <c r="F194" s="307">
        <v>960</v>
      </c>
      <c r="G194" s="307">
        <f t="shared" ref="G194:G233" si="36">F194-E194</f>
        <v>0</v>
      </c>
      <c r="H194" s="307">
        <f t="shared" ref="H194:H202" si="37">F194</f>
        <v>960</v>
      </c>
      <c r="I194" s="19" t="s">
        <v>95</v>
      </c>
      <c r="N194" s="307">
        <f t="shared" ref="N194:N197" si="38">H194</f>
        <v>960</v>
      </c>
      <c r="O194" s="307">
        <f t="shared" ref="O194:O197" si="39">H194</f>
        <v>960</v>
      </c>
      <c r="P194" s="309"/>
      <c r="Q194" t="s">
        <v>788</v>
      </c>
      <c r="R194" s="258">
        <v>45291</v>
      </c>
      <c r="S194" s="254">
        <v>960</v>
      </c>
      <c r="T194" t="s">
        <v>787</v>
      </c>
    </row>
    <row r="195" spans="2:20" x14ac:dyDescent="0.25">
      <c r="B195" s="231">
        <f>B188+1</f>
        <v>124</v>
      </c>
      <c r="C195" s="53" t="s">
        <v>150</v>
      </c>
      <c r="D195" s="307">
        <v>0</v>
      </c>
      <c r="E195" s="308">
        <v>0</v>
      </c>
      <c r="F195" s="307">
        <v>0</v>
      </c>
      <c r="G195" s="307">
        <f t="shared" si="36"/>
        <v>0</v>
      </c>
      <c r="H195" s="307">
        <f t="shared" si="37"/>
        <v>0</v>
      </c>
      <c r="I195" s="19" t="s">
        <v>95</v>
      </c>
      <c r="N195" s="307">
        <f t="shared" si="38"/>
        <v>0</v>
      </c>
      <c r="O195" s="307">
        <f t="shared" si="39"/>
        <v>0</v>
      </c>
      <c r="P195" s="309"/>
    </row>
    <row r="196" spans="2:20" x14ac:dyDescent="0.25">
      <c r="B196" s="231">
        <f t="shared" ref="B196:B198" si="40">B192+1</f>
        <v>122</v>
      </c>
      <c r="C196" s="53" t="s">
        <v>151</v>
      </c>
      <c r="D196" s="307">
        <v>86.55</v>
      </c>
      <c r="E196" s="308">
        <v>127</v>
      </c>
      <c r="F196" s="307">
        <v>79.849999999999994</v>
      </c>
      <c r="G196" s="307">
        <f t="shared" si="36"/>
        <v>-47.150000000000006</v>
      </c>
      <c r="H196" s="307">
        <f t="shared" si="37"/>
        <v>79.849999999999994</v>
      </c>
      <c r="I196" s="19" t="s">
        <v>95</v>
      </c>
      <c r="N196" s="307">
        <f t="shared" si="38"/>
        <v>79.849999999999994</v>
      </c>
      <c r="O196" s="307">
        <f t="shared" si="39"/>
        <v>79.849999999999994</v>
      </c>
      <c r="P196" s="309"/>
    </row>
    <row r="197" spans="2:20" x14ac:dyDescent="0.25">
      <c r="B197" s="231">
        <f t="shared" si="40"/>
        <v>127</v>
      </c>
      <c r="C197" s="53" t="s">
        <v>152</v>
      </c>
      <c r="D197" s="307">
        <v>2627.83</v>
      </c>
      <c r="E197" s="308">
        <v>2772</v>
      </c>
      <c r="F197" s="307">
        <v>2717.01</v>
      </c>
      <c r="G197" s="307">
        <f t="shared" si="36"/>
        <v>-54.989999999999782</v>
      </c>
      <c r="H197" s="307">
        <f t="shared" si="37"/>
        <v>2717.01</v>
      </c>
      <c r="I197" s="19" t="s">
        <v>95</v>
      </c>
      <c r="N197" s="307">
        <f t="shared" si="38"/>
        <v>2717.01</v>
      </c>
      <c r="O197" s="307">
        <f t="shared" si="39"/>
        <v>2717.01</v>
      </c>
      <c r="P197" s="309"/>
    </row>
    <row r="198" spans="2:20" x14ac:dyDescent="0.25">
      <c r="B198" s="231">
        <f t="shared" si="40"/>
        <v>124</v>
      </c>
      <c r="C198" s="310" t="s">
        <v>153</v>
      </c>
      <c r="D198" s="311">
        <v>347</v>
      </c>
      <c r="E198" s="312">
        <v>0</v>
      </c>
      <c r="F198" s="311">
        <v>520</v>
      </c>
      <c r="G198" s="311">
        <f t="shared" si="36"/>
        <v>520</v>
      </c>
      <c r="H198" s="311">
        <f t="shared" si="37"/>
        <v>520</v>
      </c>
      <c r="I198" s="19" t="s">
        <v>95</v>
      </c>
      <c r="N198" s="311">
        <f t="shared" ref="N198:O200" si="41">L198</f>
        <v>0</v>
      </c>
      <c r="O198" s="311">
        <f t="shared" si="41"/>
        <v>0</v>
      </c>
      <c r="P198" s="313"/>
    </row>
    <row r="199" spans="2:20" x14ac:dyDescent="0.25">
      <c r="B199" s="231">
        <f t="shared" si="29"/>
        <v>125</v>
      </c>
      <c r="C199" s="53" t="s">
        <v>154</v>
      </c>
      <c r="D199" s="307">
        <v>1250</v>
      </c>
      <c r="E199" s="308">
        <v>9333</v>
      </c>
      <c r="F199" s="307">
        <v>1250</v>
      </c>
      <c r="G199" s="307">
        <f t="shared" si="36"/>
        <v>-8083</v>
      </c>
      <c r="H199" s="307">
        <f t="shared" si="37"/>
        <v>1250</v>
      </c>
      <c r="I199" s="19" t="s">
        <v>95</v>
      </c>
      <c r="N199" s="307">
        <f t="shared" si="41"/>
        <v>0</v>
      </c>
      <c r="O199" s="307">
        <f t="shared" si="41"/>
        <v>0</v>
      </c>
      <c r="P199" s="309"/>
    </row>
    <row r="200" spans="2:20" x14ac:dyDescent="0.25">
      <c r="B200" s="231">
        <f t="shared" si="29"/>
        <v>123</v>
      </c>
      <c r="C200" s="196" t="s">
        <v>155</v>
      </c>
      <c r="D200" s="307">
        <v>500</v>
      </c>
      <c r="E200" s="308">
        <v>2460</v>
      </c>
      <c r="F200" s="307">
        <v>1890</v>
      </c>
      <c r="G200" s="307">
        <f t="shared" si="36"/>
        <v>-570</v>
      </c>
      <c r="H200" s="307">
        <v>0</v>
      </c>
      <c r="I200" s="19" t="s">
        <v>95</v>
      </c>
      <c r="N200" s="307">
        <f t="shared" si="41"/>
        <v>0</v>
      </c>
      <c r="O200" s="307">
        <f t="shared" si="41"/>
        <v>0</v>
      </c>
      <c r="P200" s="309"/>
    </row>
    <row r="201" spans="2:20" x14ac:dyDescent="0.25">
      <c r="B201" s="231">
        <f t="shared" si="29"/>
        <v>128</v>
      </c>
      <c r="C201" s="310" t="s">
        <v>156</v>
      </c>
      <c r="D201" s="311">
        <v>1502.3000000000002</v>
      </c>
      <c r="E201" s="312">
        <v>4680</v>
      </c>
      <c r="F201" s="311">
        <v>3493.15</v>
      </c>
      <c r="G201" s="311">
        <f t="shared" si="36"/>
        <v>-1186.8499999999999</v>
      </c>
      <c r="H201" s="311">
        <v>2000</v>
      </c>
      <c r="I201" t="s">
        <v>789</v>
      </c>
      <c r="N201" s="311">
        <f>H201</f>
        <v>2000</v>
      </c>
      <c r="O201" s="311">
        <f>H201</f>
        <v>2000</v>
      </c>
      <c r="P201" s="313"/>
      <c r="Q201" s="19" t="s">
        <v>790</v>
      </c>
      <c r="R201" s="258">
        <v>44561</v>
      </c>
      <c r="S201" s="254">
        <v>1500</v>
      </c>
    </row>
    <row r="202" spans="2:20" x14ac:dyDescent="0.25">
      <c r="B202" s="231">
        <f t="shared" si="29"/>
        <v>125</v>
      </c>
      <c r="C202" s="310" t="s">
        <v>157</v>
      </c>
      <c r="D202" s="311">
        <v>6370.1</v>
      </c>
      <c r="E202" s="312">
        <v>13523</v>
      </c>
      <c r="F202" s="311">
        <v>7094.05</v>
      </c>
      <c r="G202" s="311">
        <f t="shared" si="36"/>
        <v>-6428.95</v>
      </c>
      <c r="H202" s="311">
        <f t="shared" si="37"/>
        <v>7094.05</v>
      </c>
      <c r="I202" t="s">
        <v>791</v>
      </c>
      <c r="N202" s="311">
        <f t="shared" ref="N202:N204" si="42">H202</f>
        <v>7094.05</v>
      </c>
      <c r="O202" s="311">
        <f t="shared" ref="O202:O204" si="43">H202</f>
        <v>7094.05</v>
      </c>
      <c r="P202" s="313"/>
      <c r="Q202" t="s">
        <v>792</v>
      </c>
      <c r="R202" s="258" t="s">
        <v>793</v>
      </c>
      <c r="S202" s="254">
        <f>1450+5200</f>
        <v>6650</v>
      </c>
      <c r="T202" t="s">
        <v>794</v>
      </c>
    </row>
    <row r="203" spans="2:20" x14ac:dyDescent="0.25">
      <c r="B203" s="231">
        <f t="shared" ref="B203:B227" si="44">B199+1</f>
        <v>126</v>
      </c>
      <c r="C203" s="310" t="s">
        <v>158</v>
      </c>
      <c r="D203" s="311">
        <v>4247.88</v>
      </c>
      <c r="E203" s="312">
        <v>6760</v>
      </c>
      <c r="F203" s="311">
        <v>4341.05</v>
      </c>
      <c r="G203" s="311">
        <f t="shared" si="36"/>
        <v>-2418.9499999999998</v>
      </c>
      <c r="H203" s="311">
        <v>9920</v>
      </c>
      <c r="I203" t="s">
        <v>795</v>
      </c>
      <c r="J203">
        <f>8000+8000*24%</f>
        <v>9920</v>
      </c>
      <c r="N203" s="311">
        <f t="shared" si="42"/>
        <v>9920</v>
      </c>
      <c r="O203" s="311">
        <f t="shared" si="43"/>
        <v>9920</v>
      </c>
      <c r="P203" s="313"/>
      <c r="Q203" t="s">
        <v>796</v>
      </c>
      <c r="R203" s="258">
        <v>45291</v>
      </c>
      <c r="S203" s="271">
        <f>(5760/365*269+1842.88)/2</f>
        <v>3043.9605479452052</v>
      </c>
    </row>
    <row r="204" spans="2:20" x14ac:dyDescent="0.25">
      <c r="B204" s="231">
        <f t="shared" si="44"/>
        <v>124</v>
      </c>
      <c r="C204" s="310" t="s">
        <v>159</v>
      </c>
      <c r="D204" s="311">
        <v>5200</v>
      </c>
      <c r="E204" s="312">
        <v>2080</v>
      </c>
      <c r="F204" s="311">
        <v>5200</v>
      </c>
      <c r="G204" s="311">
        <f t="shared" si="36"/>
        <v>3120</v>
      </c>
      <c r="H204" s="311">
        <f>F204</f>
        <v>5200</v>
      </c>
      <c r="I204" t="s">
        <v>797</v>
      </c>
      <c r="N204" s="311">
        <f t="shared" si="42"/>
        <v>5200</v>
      </c>
      <c r="O204" s="311">
        <f t="shared" si="43"/>
        <v>5200</v>
      </c>
      <c r="P204" s="313"/>
      <c r="Q204" t="s">
        <v>798</v>
      </c>
      <c r="R204" s="258">
        <v>44561</v>
      </c>
      <c r="S204" s="254">
        <v>5200</v>
      </c>
    </row>
    <row r="205" spans="2:20" x14ac:dyDescent="0.25">
      <c r="B205" s="231">
        <f t="shared" si="44"/>
        <v>129</v>
      </c>
      <c r="C205" s="53" t="s">
        <v>160</v>
      </c>
      <c r="D205" s="307">
        <v>4948.08</v>
      </c>
      <c r="E205" s="308">
        <v>9896</v>
      </c>
      <c r="F205" s="307">
        <v>4948.08</v>
      </c>
      <c r="G205" s="307">
        <f t="shared" si="36"/>
        <v>-4947.92</v>
      </c>
      <c r="H205" s="307">
        <v>0</v>
      </c>
      <c r="I205" t="s">
        <v>799</v>
      </c>
      <c r="N205" s="307">
        <v>0</v>
      </c>
      <c r="O205" s="307">
        <v>0</v>
      </c>
      <c r="P205" s="309"/>
      <c r="Q205" t="s">
        <v>800</v>
      </c>
      <c r="R205" s="258">
        <v>44377</v>
      </c>
      <c r="S205" s="314" t="s">
        <v>801</v>
      </c>
    </row>
    <row r="206" spans="2:20" x14ac:dyDescent="0.25">
      <c r="B206" s="231">
        <f t="shared" si="44"/>
        <v>126</v>
      </c>
      <c r="C206" s="310" t="s">
        <v>161</v>
      </c>
      <c r="D206" s="311">
        <v>3380</v>
      </c>
      <c r="E206" s="312">
        <v>6760</v>
      </c>
      <c r="F206" s="311">
        <v>3380</v>
      </c>
      <c r="G206" s="311">
        <f t="shared" si="36"/>
        <v>-3380</v>
      </c>
      <c r="H206" s="311">
        <f t="shared" ref="H206:H213" si="45">F206</f>
        <v>3380</v>
      </c>
      <c r="I206" s="279" t="s">
        <v>95</v>
      </c>
      <c r="N206" s="311">
        <f>H206</f>
        <v>3380</v>
      </c>
      <c r="O206" s="311">
        <f>H206</f>
        <v>3380</v>
      </c>
      <c r="P206" s="313"/>
      <c r="Q206" t="s">
        <v>802</v>
      </c>
      <c r="R206" s="258">
        <v>44464</v>
      </c>
      <c r="S206" s="254">
        <v>3380</v>
      </c>
    </row>
    <row r="207" spans="2:20" x14ac:dyDescent="0.25">
      <c r="B207" s="231">
        <f t="shared" si="44"/>
        <v>127</v>
      </c>
      <c r="C207" s="310" t="s">
        <v>162</v>
      </c>
      <c r="D207" s="311">
        <v>1050</v>
      </c>
      <c r="E207" s="312">
        <v>1504</v>
      </c>
      <c r="F207" s="311">
        <v>1050.94</v>
      </c>
      <c r="G207" s="311">
        <f t="shared" si="36"/>
        <v>-453.05999999999995</v>
      </c>
      <c r="H207" s="311">
        <f t="shared" si="45"/>
        <v>1050.94</v>
      </c>
      <c r="I207" s="279" t="s">
        <v>95</v>
      </c>
      <c r="N207" s="311">
        <f>H207</f>
        <v>1050.94</v>
      </c>
      <c r="O207" s="311">
        <f>H207</f>
        <v>1050.94</v>
      </c>
      <c r="P207" s="313"/>
      <c r="Q207" t="s">
        <v>803</v>
      </c>
      <c r="R207" s="258">
        <v>44592</v>
      </c>
    </row>
    <row r="208" spans="2:20" x14ac:dyDescent="0.25">
      <c r="B208" s="231">
        <f t="shared" si="44"/>
        <v>125</v>
      </c>
      <c r="C208" s="53" t="s">
        <v>804</v>
      </c>
      <c r="D208" s="307">
        <v>0</v>
      </c>
      <c r="E208" s="308">
        <v>0</v>
      </c>
      <c r="F208" s="307">
        <v>0</v>
      </c>
      <c r="G208" s="307">
        <f t="shared" si="36"/>
        <v>0</v>
      </c>
      <c r="H208" s="307">
        <f t="shared" si="45"/>
        <v>0</v>
      </c>
      <c r="I208" s="279" t="s">
        <v>95</v>
      </c>
      <c r="N208" s="307">
        <f t="shared" ref="N208:O213" si="46">L208</f>
        <v>0</v>
      </c>
      <c r="O208" s="307">
        <f t="shared" si="46"/>
        <v>0</v>
      </c>
      <c r="P208" s="309"/>
    </row>
    <row r="209" spans="2:21" x14ac:dyDescent="0.25">
      <c r="B209" s="231">
        <f t="shared" si="44"/>
        <v>130</v>
      </c>
      <c r="C209" s="310" t="s">
        <v>163</v>
      </c>
      <c r="D209" s="311">
        <v>7603.18</v>
      </c>
      <c r="E209" s="312">
        <v>15140</v>
      </c>
      <c r="F209" s="311">
        <v>0</v>
      </c>
      <c r="G209" s="311">
        <f t="shared" si="36"/>
        <v>-15140</v>
      </c>
      <c r="H209" s="311">
        <f t="shared" si="45"/>
        <v>0</v>
      </c>
      <c r="I209" t="s">
        <v>805</v>
      </c>
      <c r="N209" s="311">
        <f t="shared" si="46"/>
        <v>0</v>
      </c>
      <c r="O209" s="311">
        <f t="shared" si="46"/>
        <v>0</v>
      </c>
      <c r="P209" s="313"/>
    </row>
    <row r="210" spans="2:21" x14ac:dyDescent="0.25">
      <c r="B210" s="231">
        <f t="shared" si="44"/>
        <v>127</v>
      </c>
      <c r="C210" s="310" t="s">
        <v>164</v>
      </c>
      <c r="D210" s="311">
        <v>3684.2000000000007</v>
      </c>
      <c r="E210" s="312">
        <v>7369</v>
      </c>
      <c r="F210" s="311">
        <v>3684.6</v>
      </c>
      <c r="G210" s="311">
        <f t="shared" si="36"/>
        <v>-3684.4</v>
      </c>
      <c r="H210" s="311">
        <f t="shared" si="45"/>
        <v>3684.6</v>
      </c>
      <c r="I210" s="19" t="s">
        <v>95</v>
      </c>
      <c r="N210" s="311">
        <f>H210</f>
        <v>3684.6</v>
      </c>
      <c r="O210" s="311">
        <f>H210</f>
        <v>3684.6</v>
      </c>
      <c r="P210" s="313"/>
    </row>
    <row r="211" spans="2:21" x14ac:dyDescent="0.25">
      <c r="B211" s="231">
        <f t="shared" si="44"/>
        <v>128</v>
      </c>
      <c r="C211" s="310" t="s">
        <v>165</v>
      </c>
      <c r="D211" s="311">
        <v>7281</v>
      </c>
      <c r="E211" s="312">
        <v>14562</v>
      </c>
      <c r="F211" s="311">
        <v>7280</v>
      </c>
      <c r="G211" s="311">
        <f t="shared" si="36"/>
        <v>-7282</v>
      </c>
      <c r="H211" s="311">
        <f t="shared" si="45"/>
        <v>7280</v>
      </c>
      <c r="I211" s="19" t="s">
        <v>95</v>
      </c>
      <c r="N211" s="311">
        <f t="shared" ref="N211:N212" si="47">H211</f>
        <v>7280</v>
      </c>
      <c r="O211" s="311">
        <f t="shared" ref="O211:O212" si="48">H211</f>
        <v>7280</v>
      </c>
      <c r="P211" s="313"/>
    </row>
    <row r="212" spans="2:21" x14ac:dyDescent="0.25">
      <c r="B212" s="231">
        <f t="shared" si="44"/>
        <v>126</v>
      </c>
      <c r="C212" s="310" t="s">
        <v>166</v>
      </c>
      <c r="D212" s="311">
        <v>5724.92</v>
      </c>
      <c r="E212" s="312">
        <v>13599</v>
      </c>
      <c r="F212" s="311">
        <v>5723.96</v>
      </c>
      <c r="G212" s="311">
        <f t="shared" si="36"/>
        <v>-7875.04</v>
      </c>
      <c r="H212" s="311">
        <f t="shared" si="45"/>
        <v>5723.96</v>
      </c>
      <c r="I212" t="s">
        <v>806</v>
      </c>
      <c r="N212" s="311">
        <f t="shared" si="47"/>
        <v>5723.96</v>
      </c>
      <c r="O212" s="311">
        <f t="shared" si="48"/>
        <v>5723.96</v>
      </c>
      <c r="P212" s="313"/>
      <c r="Q212" t="s">
        <v>807</v>
      </c>
      <c r="R212" s="258">
        <v>44773</v>
      </c>
      <c r="S212" s="254">
        <v>5725</v>
      </c>
    </row>
    <row r="213" spans="2:21" s="125" customFormat="1" x14ac:dyDescent="0.25">
      <c r="B213" s="231">
        <f t="shared" si="44"/>
        <v>131</v>
      </c>
      <c r="C213" s="53" t="s">
        <v>167</v>
      </c>
      <c r="D213" s="307">
        <v>745.87</v>
      </c>
      <c r="E213" s="308">
        <v>7425</v>
      </c>
      <c r="F213" s="307">
        <v>892.52</v>
      </c>
      <c r="G213" s="307">
        <f t="shared" si="36"/>
        <v>-6532.48</v>
      </c>
      <c r="H213" s="307">
        <f t="shared" si="45"/>
        <v>892.52</v>
      </c>
      <c r="I213" s="43" t="s">
        <v>95</v>
      </c>
      <c r="N213" s="307">
        <f t="shared" si="46"/>
        <v>0</v>
      </c>
      <c r="O213" s="307">
        <f t="shared" si="46"/>
        <v>0</v>
      </c>
      <c r="P213" s="309"/>
      <c r="S213" s="273"/>
      <c r="T213"/>
      <c r="U213"/>
    </row>
    <row r="214" spans="2:21" x14ac:dyDescent="0.25">
      <c r="B214" s="231">
        <f t="shared" si="44"/>
        <v>128</v>
      </c>
      <c r="C214" s="310" t="s">
        <v>168</v>
      </c>
      <c r="D214" s="311">
        <v>32166.280000000006</v>
      </c>
      <c r="E214" s="312">
        <v>38767</v>
      </c>
      <c r="F214" s="311">
        <v>29403.84</v>
      </c>
      <c r="G214" s="311">
        <f t="shared" si="36"/>
        <v>-9363.16</v>
      </c>
      <c r="H214" s="311">
        <v>50000</v>
      </c>
      <c r="I214" t="s">
        <v>808</v>
      </c>
      <c r="N214" s="311">
        <f>H214</f>
        <v>50000</v>
      </c>
      <c r="O214" s="311">
        <f>H214</f>
        <v>50000</v>
      </c>
      <c r="P214" s="313"/>
      <c r="Q214" s="125"/>
      <c r="R214" s="125"/>
      <c r="S214" s="273"/>
      <c r="T214" s="125"/>
      <c r="U214" s="125"/>
    </row>
    <row r="215" spans="2:21" x14ac:dyDescent="0.25">
      <c r="B215" s="231">
        <f t="shared" si="44"/>
        <v>129</v>
      </c>
      <c r="C215" s="53" t="s">
        <v>169</v>
      </c>
      <c r="D215" s="307">
        <v>7.91</v>
      </c>
      <c r="E215" s="308">
        <v>3</v>
      </c>
      <c r="F215" s="307">
        <v>13.12</v>
      </c>
      <c r="G215" s="307">
        <f t="shared" si="36"/>
        <v>10.119999999999999</v>
      </c>
      <c r="H215" s="307">
        <f>F215</f>
        <v>13.12</v>
      </c>
      <c r="I215" s="19" t="s">
        <v>95</v>
      </c>
      <c r="N215" s="307">
        <f>H215</f>
        <v>13.12</v>
      </c>
      <c r="O215" s="307">
        <f>H215</f>
        <v>13.12</v>
      </c>
      <c r="P215" s="309"/>
    </row>
    <row r="216" spans="2:21" x14ac:dyDescent="0.25">
      <c r="B216" s="231">
        <f t="shared" si="44"/>
        <v>127</v>
      </c>
      <c r="C216" s="53" t="s">
        <v>170</v>
      </c>
      <c r="D216" s="307">
        <v>848.36</v>
      </c>
      <c r="E216" s="308">
        <v>1385</v>
      </c>
      <c r="F216" s="307">
        <v>698.36</v>
      </c>
      <c r="G216" s="307">
        <f t="shared" si="36"/>
        <v>-686.64</v>
      </c>
      <c r="H216" s="307">
        <f>F216</f>
        <v>698.36</v>
      </c>
      <c r="I216" s="19" t="s">
        <v>95</v>
      </c>
      <c r="N216" s="307">
        <f t="shared" ref="N216:N219" si="49">H216</f>
        <v>698.36</v>
      </c>
      <c r="O216" s="307">
        <f t="shared" ref="O216:O220" si="50">H216</f>
        <v>698.36</v>
      </c>
      <c r="P216" s="309"/>
      <c r="Q216" t="s">
        <v>809</v>
      </c>
      <c r="R216" s="258">
        <v>44561</v>
      </c>
      <c r="S216" s="164">
        <v>500</v>
      </c>
    </row>
    <row r="217" spans="2:21" x14ac:dyDescent="0.25">
      <c r="B217" s="231">
        <f t="shared" si="44"/>
        <v>132</v>
      </c>
      <c r="C217" s="53" t="s">
        <v>171</v>
      </c>
      <c r="D217" s="307">
        <v>0</v>
      </c>
      <c r="E217" s="308">
        <v>0</v>
      </c>
      <c r="F217" s="307">
        <v>0</v>
      </c>
      <c r="G217" s="307">
        <f t="shared" si="36"/>
        <v>0</v>
      </c>
      <c r="H217" s="307">
        <f>F217</f>
        <v>0</v>
      </c>
      <c r="I217" s="19" t="s">
        <v>95</v>
      </c>
      <c r="N217" s="307">
        <f t="shared" si="49"/>
        <v>0</v>
      </c>
      <c r="O217" s="307">
        <f t="shared" si="50"/>
        <v>0</v>
      </c>
      <c r="P217" s="309"/>
    </row>
    <row r="218" spans="2:21" x14ac:dyDescent="0.25">
      <c r="B218" s="231">
        <f t="shared" si="44"/>
        <v>129</v>
      </c>
      <c r="C218" s="53" t="s">
        <v>172</v>
      </c>
      <c r="D218" s="307">
        <v>900</v>
      </c>
      <c r="E218" s="308">
        <v>18988</v>
      </c>
      <c r="F218" s="307">
        <v>1000</v>
      </c>
      <c r="G218" s="307">
        <f t="shared" si="36"/>
        <v>-17988</v>
      </c>
      <c r="H218" s="307">
        <f>F218</f>
        <v>1000</v>
      </c>
      <c r="I218" s="19" t="s">
        <v>95</v>
      </c>
      <c r="N218" s="307">
        <f t="shared" si="49"/>
        <v>1000</v>
      </c>
      <c r="O218" s="307">
        <f t="shared" si="50"/>
        <v>1000</v>
      </c>
      <c r="P218" s="309"/>
      <c r="Q218" t="s">
        <v>810</v>
      </c>
      <c r="S218" s="164">
        <v>1000</v>
      </c>
    </row>
    <row r="219" spans="2:21" x14ac:dyDescent="0.25">
      <c r="B219" s="231">
        <f t="shared" si="44"/>
        <v>130</v>
      </c>
      <c r="C219" s="53" t="s">
        <v>173</v>
      </c>
      <c r="D219" s="307">
        <v>1058.7850000000001</v>
      </c>
      <c r="E219" s="308">
        <v>997</v>
      </c>
      <c r="F219" s="307">
        <v>3374.94</v>
      </c>
      <c r="G219" s="307">
        <f t="shared" si="36"/>
        <v>2377.94</v>
      </c>
      <c r="H219" s="307">
        <f>F219</f>
        <v>3374.94</v>
      </c>
      <c r="I219" s="19" t="s">
        <v>95</v>
      </c>
      <c r="N219" s="307">
        <f t="shared" si="49"/>
        <v>3374.94</v>
      </c>
      <c r="O219" s="307">
        <f t="shared" si="50"/>
        <v>3374.94</v>
      </c>
      <c r="P219" s="309"/>
      <c r="Q219" t="s">
        <v>811</v>
      </c>
    </row>
    <row r="220" spans="2:21" x14ac:dyDescent="0.25">
      <c r="B220" s="231"/>
      <c r="C220" s="53" t="s">
        <v>812</v>
      </c>
      <c r="D220" s="307"/>
      <c r="E220" s="308"/>
      <c r="F220" s="307">
        <v>49320</v>
      </c>
      <c r="G220" s="307"/>
      <c r="H220" s="307"/>
      <c r="I220" s="19"/>
      <c r="N220" s="307"/>
      <c r="O220" s="307">
        <f t="shared" si="50"/>
        <v>0</v>
      </c>
      <c r="P220" s="309"/>
    </row>
    <row r="221" spans="2:21" x14ac:dyDescent="0.25">
      <c r="B221" s="231">
        <f>B216+1</f>
        <v>128</v>
      </c>
      <c r="C221" s="53" t="s">
        <v>174</v>
      </c>
      <c r="D221" s="307">
        <v>0</v>
      </c>
      <c r="E221" s="308">
        <v>13558</v>
      </c>
      <c r="F221" s="307">
        <v>0</v>
      </c>
      <c r="G221" s="307">
        <f t="shared" si="36"/>
        <v>-13558</v>
      </c>
      <c r="H221" s="315"/>
      <c r="I221" s="101" t="s">
        <v>813</v>
      </c>
      <c r="J221" s="101"/>
      <c r="K221" s="101"/>
      <c r="L221" s="101"/>
      <c r="M221" s="101"/>
      <c r="N221" s="315"/>
      <c r="O221" s="315"/>
      <c r="P221" s="309"/>
    </row>
    <row r="222" spans="2:21" x14ac:dyDescent="0.25">
      <c r="B222" s="231">
        <f>B217+1</f>
        <v>133</v>
      </c>
      <c r="C222" s="53" t="s">
        <v>175</v>
      </c>
      <c r="D222" s="307">
        <v>3150</v>
      </c>
      <c r="E222" s="308">
        <v>1500</v>
      </c>
      <c r="F222" s="307">
        <v>3370</v>
      </c>
      <c r="G222" s="307">
        <f t="shared" si="36"/>
        <v>1870</v>
      </c>
      <c r="H222" s="307">
        <f>F222</f>
        <v>3370</v>
      </c>
      <c r="I222" s="19" t="s">
        <v>95</v>
      </c>
      <c r="N222" s="307">
        <f>H222</f>
        <v>3370</v>
      </c>
      <c r="O222" s="307">
        <f>H222</f>
        <v>3370</v>
      </c>
      <c r="P222" s="309"/>
      <c r="Q222" t="s">
        <v>814</v>
      </c>
      <c r="R222" s="258">
        <v>44782</v>
      </c>
      <c r="S222" s="254">
        <v>3150</v>
      </c>
    </row>
    <row r="223" spans="2:21" x14ac:dyDescent="0.25">
      <c r="B223" s="231">
        <f>B218+1</f>
        <v>130</v>
      </c>
      <c r="C223" s="53" t="s">
        <v>176</v>
      </c>
      <c r="D223" s="307">
        <v>3711.0699999999997</v>
      </c>
      <c r="E223" s="308">
        <v>3233</v>
      </c>
      <c r="F223" s="307">
        <v>4008.88</v>
      </c>
      <c r="G223" s="307">
        <f t="shared" si="36"/>
        <v>775.88000000000011</v>
      </c>
      <c r="H223" s="307">
        <f>F223</f>
        <v>4008.88</v>
      </c>
      <c r="I223" s="19" t="s">
        <v>95</v>
      </c>
      <c r="N223" s="307">
        <f>H223</f>
        <v>4008.88</v>
      </c>
      <c r="O223" s="307">
        <f>H223</f>
        <v>4008.88</v>
      </c>
      <c r="P223" s="309"/>
      <c r="Q223" t="s">
        <v>815</v>
      </c>
      <c r="R223" s="258">
        <v>44408</v>
      </c>
      <c r="S223" s="254">
        <f>(798.5+50)*4+500</f>
        <v>3894</v>
      </c>
      <c r="T223" t="s">
        <v>816</v>
      </c>
    </row>
    <row r="224" spans="2:21" x14ac:dyDescent="0.25">
      <c r="B224" s="231">
        <f>B219+1</f>
        <v>131</v>
      </c>
      <c r="C224" s="310" t="s">
        <v>177</v>
      </c>
      <c r="D224" s="311">
        <v>7539.8</v>
      </c>
      <c r="E224" s="312">
        <v>10108</v>
      </c>
      <c r="F224" s="311">
        <v>7476.56</v>
      </c>
      <c r="G224" s="311">
        <f t="shared" si="36"/>
        <v>-2631.4399999999996</v>
      </c>
      <c r="H224" s="311">
        <f>F224+2000</f>
        <v>9476.5600000000013</v>
      </c>
      <c r="I224" t="s">
        <v>817</v>
      </c>
      <c r="N224" s="311">
        <f>H224</f>
        <v>9476.5600000000013</v>
      </c>
      <c r="O224" s="311">
        <f>H224</f>
        <v>9476.5600000000013</v>
      </c>
      <c r="P224" s="313"/>
      <c r="Q224" t="s">
        <v>818</v>
      </c>
      <c r="R224" s="258">
        <v>44561</v>
      </c>
      <c r="S224" s="254">
        <f>7476.56/26*28</f>
        <v>8051.68</v>
      </c>
    </row>
    <row r="225" spans="1:20" x14ac:dyDescent="0.25">
      <c r="B225" s="231">
        <f t="shared" si="44"/>
        <v>129</v>
      </c>
      <c r="C225" s="53" t="s">
        <v>178</v>
      </c>
      <c r="D225" s="307">
        <v>0</v>
      </c>
      <c r="E225" s="308">
        <v>1394</v>
      </c>
      <c r="F225" s="307">
        <v>0</v>
      </c>
      <c r="G225" s="307">
        <f t="shared" si="36"/>
        <v>-1394</v>
      </c>
      <c r="H225" s="307"/>
      <c r="I225" t="s">
        <v>819</v>
      </c>
      <c r="N225" s="307"/>
      <c r="O225" s="307"/>
      <c r="P225" s="309"/>
    </row>
    <row r="226" spans="1:20" x14ac:dyDescent="0.25">
      <c r="B226" s="231">
        <f t="shared" si="44"/>
        <v>134</v>
      </c>
      <c r="C226" s="310" t="s">
        <v>179</v>
      </c>
      <c r="D226" s="311">
        <v>2022</v>
      </c>
      <c r="E226" s="312">
        <v>3284</v>
      </c>
      <c r="F226" s="311">
        <v>1792</v>
      </c>
      <c r="G226" s="311">
        <f t="shared" si="36"/>
        <v>-1492</v>
      </c>
      <c r="H226" s="311">
        <f>F226</f>
        <v>1792</v>
      </c>
      <c r="I226" s="19" t="s">
        <v>95</v>
      </c>
      <c r="N226" s="311">
        <f>F226</f>
        <v>1792</v>
      </c>
      <c r="O226" s="311">
        <f>H226</f>
        <v>1792</v>
      </c>
      <c r="P226" s="313"/>
      <c r="Q226" t="s">
        <v>820</v>
      </c>
      <c r="R226" s="258">
        <v>44592</v>
      </c>
      <c r="S226" s="254">
        <v>2000</v>
      </c>
      <c r="T226" t="s">
        <v>787</v>
      </c>
    </row>
    <row r="227" spans="1:20" x14ac:dyDescent="0.25">
      <c r="B227" s="231">
        <f t="shared" si="44"/>
        <v>131</v>
      </c>
      <c r="C227" s="53" t="s">
        <v>821</v>
      </c>
      <c r="D227" s="307">
        <v>6942.5</v>
      </c>
      <c r="E227" s="308">
        <v>0</v>
      </c>
      <c r="F227" s="307">
        <v>6942.5</v>
      </c>
      <c r="G227" s="307">
        <f t="shared" si="36"/>
        <v>6942.5</v>
      </c>
      <c r="H227" s="307">
        <v>1500</v>
      </c>
      <c r="I227" s="19" t="s">
        <v>95</v>
      </c>
      <c r="N227" s="307">
        <v>1500</v>
      </c>
      <c r="O227" s="307">
        <v>1500</v>
      </c>
      <c r="P227" s="309"/>
      <c r="Q227" t="s">
        <v>822</v>
      </c>
      <c r="R227" s="258">
        <v>44561</v>
      </c>
      <c r="S227" s="254">
        <v>6943</v>
      </c>
      <c r="T227" t="s">
        <v>823</v>
      </c>
    </row>
    <row r="228" spans="1:20" x14ac:dyDescent="0.25">
      <c r="B228" s="231"/>
      <c r="C228" s="53" t="s">
        <v>824</v>
      </c>
      <c r="D228" s="307">
        <v>156</v>
      </c>
      <c r="E228" s="308">
        <v>0</v>
      </c>
      <c r="F228" s="307">
        <v>154.91</v>
      </c>
      <c r="G228" s="307">
        <f t="shared" si="36"/>
        <v>154.91</v>
      </c>
      <c r="H228" s="307">
        <f>F228</f>
        <v>154.91</v>
      </c>
      <c r="I228" s="19" t="s">
        <v>95</v>
      </c>
      <c r="N228" s="307">
        <f t="shared" ref="N228:N232" si="51">H228</f>
        <v>154.91</v>
      </c>
      <c r="O228" s="307">
        <f t="shared" ref="O228:O233" si="52">H228</f>
        <v>154.91</v>
      </c>
      <c r="P228" s="309"/>
      <c r="Q228" t="s">
        <v>825</v>
      </c>
      <c r="R228" s="258">
        <v>46022</v>
      </c>
      <c r="S228" s="254">
        <v>155</v>
      </c>
    </row>
    <row r="229" spans="1:20" x14ac:dyDescent="0.25">
      <c r="B229" s="231"/>
      <c r="C229" s="53" t="s">
        <v>826</v>
      </c>
      <c r="D229" s="307">
        <v>1207.25</v>
      </c>
      <c r="E229" s="308">
        <v>0</v>
      </c>
      <c r="F229" s="307">
        <v>1207.25</v>
      </c>
      <c r="G229" s="307">
        <f t="shared" si="36"/>
        <v>1207.25</v>
      </c>
      <c r="H229" s="307">
        <f>F229</f>
        <v>1207.25</v>
      </c>
      <c r="I229" s="19" t="s">
        <v>95</v>
      </c>
      <c r="N229" s="307">
        <f t="shared" si="51"/>
        <v>1207.25</v>
      </c>
      <c r="O229" s="307">
        <f t="shared" si="52"/>
        <v>1207.25</v>
      </c>
      <c r="P229" s="309"/>
      <c r="Q229" t="s">
        <v>827</v>
      </c>
      <c r="S229" s="164">
        <v>1500</v>
      </c>
    </row>
    <row r="230" spans="1:20" ht="27" x14ac:dyDescent="0.25">
      <c r="B230" s="231"/>
      <c r="C230" s="53" t="s">
        <v>828</v>
      </c>
      <c r="D230" s="307">
        <v>5160</v>
      </c>
      <c r="E230" s="308">
        <v>0</v>
      </c>
      <c r="F230" s="307">
        <v>5160</v>
      </c>
      <c r="G230" s="307">
        <f t="shared" si="36"/>
        <v>5160</v>
      </c>
      <c r="H230" s="307">
        <f>200*12</f>
        <v>2400</v>
      </c>
      <c r="I230" s="19" t="s">
        <v>95</v>
      </c>
      <c r="N230" s="307">
        <f t="shared" si="51"/>
        <v>2400</v>
      </c>
      <c r="O230" s="307">
        <f t="shared" si="52"/>
        <v>2400</v>
      </c>
      <c r="P230" s="309"/>
      <c r="Q230" t="s">
        <v>829</v>
      </c>
      <c r="R230" t="s">
        <v>830</v>
      </c>
      <c r="S230" s="254">
        <f>200*12</f>
        <v>2400</v>
      </c>
    </row>
    <row r="231" spans="1:20" x14ac:dyDescent="0.25">
      <c r="B231" s="231">
        <f>B224+1</f>
        <v>132</v>
      </c>
      <c r="C231" s="53" t="s">
        <v>831</v>
      </c>
      <c r="D231" s="307">
        <v>135</v>
      </c>
      <c r="E231" s="308">
        <v>0</v>
      </c>
      <c r="F231" s="307">
        <v>135</v>
      </c>
      <c r="G231" s="307">
        <f t="shared" si="36"/>
        <v>135</v>
      </c>
      <c r="H231" s="307">
        <f>15*12</f>
        <v>180</v>
      </c>
      <c r="I231" s="19" t="s">
        <v>95</v>
      </c>
      <c r="N231" s="307">
        <f t="shared" si="51"/>
        <v>180</v>
      </c>
      <c r="O231" s="307">
        <f t="shared" si="52"/>
        <v>180</v>
      </c>
      <c r="P231" s="309"/>
    </row>
    <row r="232" spans="1:20" x14ac:dyDescent="0.25">
      <c r="B232" s="231"/>
      <c r="C232" s="226" t="s">
        <v>832</v>
      </c>
      <c r="D232" s="316"/>
      <c r="E232" s="317"/>
      <c r="F232" s="316"/>
      <c r="G232" s="307">
        <f t="shared" si="36"/>
        <v>0</v>
      </c>
      <c r="H232" s="316"/>
      <c r="I232" s="19"/>
      <c r="N232" s="307">
        <f t="shared" si="51"/>
        <v>0</v>
      </c>
      <c r="O232" s="307">
        <f t="shared" si="52"/>
        <v>0</v>
      </c>
      <c r="P232" s="318"/>
    </row>
    <row r="233" spans="1:20" x14ac:dyDescent="0.25">
      <c r="B233" s="231"/>
      <c r="C233" s="226" t="s">
        <v>833</v>
      </c>
      <c r="D233" s="316"/>
      <c r="E233" s="317"/>
      <c r="F233" s="316"/>
      <c r="G233" s="307">
        <f t="shared" si="36"/>
        <v>0</v>
      </c>
      <c r="H233" s="316">
        <f>60000+30000</f>
        <v>90000</v>
      </c>
      <c r="I233" s="19"/>
      <c r="N233" s="316">
        <f>H233</f>
        <v>90000</v>
      </c>
      <c r="O233" s="307">
        <f t="shared" si="52"/>
        <v>90000</v>
      </c>
      <c r="P233" s="318"/>
    </row>
    <row r="234" spans="1:20" ht="18.75" x14ac:dyDescent="0.3">
      <c r="B234" s="231"/>
      <c r="C234" s="292" t="s">
        <v>834</v>
      </c>
      <c r="D234" s="319"/>
      <c r="E234" s="305">
        <f>SUM(E193:E233)</f>
        <v>290003</v>
      </c>
      <c r="F234" s="304">
        <f>SUM(F193:F233)</f>
        <v>238496.07</v>
      </c>
      <c r="G234" s="320">
        <f>F234-E234</f>
        <v>-51506.929999999993</v>
      </c>
      <c r="H234" s="305">
        <f>SUM(H193:H233)</f>
        <v>292244.95</v>
      </c>
      <c r="I234" s="19"/>
      <c r="N234" s="305">
        <f>SUM(N193:N233)</f>
        <v>289582.43000000005</v>
      </c>
      <c r="O234" s="305">
        <f>SUM(O193:O233)</f>
        <v>289582.43000000005</v>
      </c>
      <c r="P234" s="321"/>
    </row>
    <row r="235" spans="1:20" ht="18.75" x14ac:dyDescent="0.3">
      <c r="B235" s="231">
        <f>B225+1</f>
        <v>130</v>
      </c>
      <c r="C235" s="30" t="s">
        <v>180</v>
      </c>
      <c r="D235" s="322">
        <f>SUM(D236:D325)</f>
        <v>700444.23643835611</v>
      </c>
      <c r="E235" s="322">
        <f>E237+E238+E255+E291+E298+E326</f>
        <v>452990</v>
      </c>
      <c r="F235" s="322">
        <f>F237+F238+F255+F291+F298+F326</f>
        <v>461779.55000000005</v>
      </c>
      <c r="G235" s="46">
        <f>F235-E235</f>
        <v>8789.5500000000466</v>
      </c>
      <c r="H235" s="322">
        <f>H237+H238+H255+H291+H298+H326</f>
        <v>795597.24</v>
      </c>
      <c r="I235" s="19" t="s">
        <v>95</v>
      </c>
      <c r="N235" s="322">
        <f>N237+N238+N255+N291+N298+N326</f>
        <v>494597.24</v>
      </c>
      <c r="O235" s="322">
        <f>O237+O238+O255+O291+O298+O326</f>
        <v>455597.24</v>
      </c>
      <c r="P235" s="323"/>
    </row>
    <row r="236" spans="1:20" x14ac:dyDescent="0.25">
      <c r="A236" s="125"/>
      <c r="B236" s="231">
        <f>B226+1</f>
        <v>135</v>
      </c>
      <c r="C236" s="196" t="s">
        <v>835</v>
      </c>
      <c r="D236" s="197">
        <v>10111.439999999999</v>
      </c>
      <c r="E236" s="198">
        <v>9257</v>
      </c>
      <c r="F236" s="197">
        <v>9731.0499999999993</v>
      </c>
      <c r="G236" s="197">
        <f>F236-E236</f>
        <v>474.04999999999927</v>
      </c>
      <c r="H236" s="197">
        <f>10000+10000*30%</f>
        <v>13000</v>
      </c>
      <c r="I236" s="43" t="s">
        <v>95</v>
      </c>
      <c r="J236" s="125"/>
      <c r="K236" s="125"/>
      <c r="L236" s="125"/>
      <c r="M236" s="125"/>
      <c r="N236" s="197">
        <f>H236</f>
        <v>13000</v>
      </c>
      <c r="O236" s="197">
        <f>N236</f>
        <v>13000</v>
      </c>
      <c r="P236" s="324"/>
    </row>
    <row r="237" spans="1:20" x14ac:dyDescent="0.25">
      <c r="B237" s="231"/>
      <c r="C237" s="325" t="s">
        <v>836</v>
      </c>
      <c r="D237" s="326"/>
      <c r="E237" s="327">
        <f>E236</f>
        <v>9257</v>
      </c>
      <c r="F237" s="327">
        <f>F236</f>
        <v>9731.0499999999993</v>
      </c>
      <c r="G237" s="326"/>
      <c r="H237" s="327">
        <f>H236</f>
        <v>13000</v>
      </c>
      <c r="I237" s="19"/>
      <c r="N237" s="327">
        <f>N236</f>
        <v>13000</v>
      </c>
      <c r="O237" s="327">
        <f>O236</f>
        <v>13000</v>
      </c>
      <c r="P237" s="328"/>
    </row>
    <row r="238" spans="1:20" ht="27" x14ac:dyDescent="0.25">
      <c r="B238" s="231">
        <f>B231+1</f>
        <v>133</v>
      </c>
      <c r="C238" s="325" t="s">
        <v>185</v>
      </c>
      <c r="D238" s="326">
        <v>119339.34</v>
      </c>
      <c r="E238" s="329">
        <v>336177</v>
      </c>
      <c r="F238" s="330">
        <v>117240.77</v>
      </c>
      <c r="G238" s="330">
        <f>F238-E238</f>
        <v>-218936.22999999998</v>
      </c>
      <c r="H238" s="330">
        <v>0</v>
      </c>
      <c r="I238" t="s">
        <v>837</v>
      </c>
      <c r="N238" s="330">
        <v>0</v>
      </c>
      <c r="O238" s="330">
        <v>0</v>
      </c>
      <c r="P238" s="331"/>
    </row>
    <row r="239" spans="1:20" x14ac:dyDescent="0.25">
      <c r="B239" s="231">
        <f>B235+1</f>
        <v>131</v>
      </c>
      <c r="C239" s="196" t="s">
        <v>838</v>
      </c>
      <c r="D239" s="197">
        <v>960</v>
      </c>
      <c r="E239" s="198">
        <v>800</v>
      </c>
      <c r="F239" s="197">
        <v>960</v>
      </c>
      <c r="G239" s="197">
        <f t="shared" ref="G239:G325" si="53">F239-E239</f>
        <v>160</v>
      </c>
      <c r="H239" s="197">
        <f>'[1]68,05,705 vigilanza tributi'!P1</f>
        <v>960</v>
      </c>
      <c r="I239" s="19" t="s">
        <v>95</v>
      </c>
      <c r="N239" s="197">
        <v>960</v>
      </c>
      <c r="O239" s="197">
        <v>960</v>
      </c>
      <c r="P239" s="199"/>
    </row>
    <row r="240" spans="1:20" x14ac:dyDescent="0.25">
      <c r="B240" s="231">
        <f>B295+1</f>
        <v>133</v>
      </c>
      <c r="C240" s="196" t="s">
        <v>839</v>
      </c>
      <c r="D240" s="197">
        <v>600</v>
      </c>
      <c r="E240" s="198">
        <v>500</v>
      </c>
      <c r="F240" s="197">
        <v>600</v>
      </c>
      <c r="G240" s="197">
        <f t="shared" si="53"/>
        <v>100</v>
      </c>
      <c r="H240" s="197">
        <v>650</v>
      </c>
      <c r="I240" s="19" t="s">
        <v>95</v>
      </c>
      <c r="N240" s="197">
        <v>650</v>
      </c>
      <c r="O240" s="197">
        <v>650</v>
      </c>
      <c r="P240" s="199"/>
    </row>
    <row r="241" spans="2:16" x14ac:dyDescent="0.25">
      <c r="B241" s="231">
        <f>B251+1</f>
        <v>133</v>
      </c>
      <c r="C241" s="196" t="s">
        <v>840</v>
      </c>
      <c r="D241" s="197">
        <v>3600</v>
      </c>
      <c r="E241" s="198">
        <v>2350</v>
      </c>
      <c r="F241" s="197">
        <v>2700</v>
      </c>
      <c r="G241" s="197">
        <f t="shared" si="53"/>
        <v>350</v>
      </c>
      <c r="H241" s="197">
        <f t="shared" ref="H241:H246" si="54">F241</f>
        <v>2700</v>
      </c>
      <c r="I241" s="19" t="s">
        <v>95</v>
      </c>
      <c r="N241" s="197">
        <v>2700</v>
      </c>
      <c r="O241" s="197">
        <v>2700</v>
      </c>
      <c r="P241" s="199"/>
    </row>
    <row r="242" spans="2:16" x14ac:dyDescent="0.25">
      <c r="B242" s="231">
        <f>B261+1</f>
        <v>138</v>
      </c>
      <c r="C242" s="196" t="s">
        <v>192</v>
      </c>
      <c r="D242" s="197">
        <v>0</v>
      </c>
      <c r="E242" s="198">
        <v>0</v>
      </c>
      <c r="F242" s="197">
        <v>0</v>
      </c>
      <c r="G242" s="197">
        <f t="shared" si="53"/>
        <v>0</v>
      </c>
      <c r="H242" s="197">
        <f t="shared" si="54"/>
        <v>0</v>
      </c>
      <c r="I242" s="19" t="s">
        <v>95</v>
      </c>
      <c r="N242" s="197">
        <v>0</v>
      </c>
      <c r="O242" s="197">
        <v>0</v>
      </c>
      <c r="P242" s="199"/>
    </row>
    <row r="243" spans="2:16" x14ac:dyDescent="0.25">
      <c r="B243" s="231">
        <f>B252+1</f>
        <v>135</v>
      </c>
      <c r="C243" s="196" t="s">
        <v>841</v>
      </c>
      <c r="D243" s="197">
        <v>120</v>
      </c>
      <c r="E243" s="198">
        <v>60</v>
      </c>
      <c r="F243" s="197">
        <v>120</v>
      </c>
      <c r="G243" s="197">
        <f t="shared" si="53"/>
        <v>60</v>
      </c>
      <c r="H243" s="197">
        <f t="shared" si="54"/>
        <v>120</v>
      </c>
      <c r="I243" s="19" t="s">
        <v>95</v>
      </c>
      <c r="N243" s="197">
        <v>120</v>
      </c>
      <c r="O243" s="197">
        <v>120</v>
      </c>
      <c r="P243" s="199"/>
    </row>
    <row r="244" spans="2:16" x14ac:dyDescent="0.25">
      <c r="B244" s="231">
        <f>B250+1</f>
        <v>136</v>
      </c>
      <c r="C244" s="196" t="s">
        <v>184</v>
      </c>
      <c r="D244" s="197">
        <v>610</v>
      </c>
      <c r="E244" s="198">
        <v>664</v>
      </c>
      <c r="F244" s="197">
        <v>676.71</v>
      </c>
      <c r="G244" s="197">
        <f t="shared" si="53"/>
        <v>12.710000000000036</v>
      </c>
      <c r="H244" s="197">
        <f t="shared" si="54"/>
        <v>676.71</v>
      </c>
      <c r="I244" s="19" t="s">
        <v>95</v>
      </c>
      <c r="N244" s="197">
        <v>676.71</v>
      </c>
      <c r="O244" s="197">
        <v>676.71</v>
      </c>
      <c r="P244" s="199"/>
    </row>
    <row r="245" spans="2:16" x14ac:dyDescent="0.25">
      <c r="B245" s="231">
        <f>B265+1</f>
        <v>137</v>
      </c>
      <c r="C245" s="196" t="s">
        <v>842</v>
      </c>
      <c r="D245" s="197">
        <v>2500</v>
      </c>
      <c r="E245" s="198">
        <v>445</v>
      </c>
      <c r="F245" s="197">
        <v>2500</v>
      </c>
      <c r="G245" s="197">
        <f t="shared" si="53"/>
        <v>2055</v>
      </c>
      <c r="H245" s="197">
        <f t="shared" si="54"/>
        <v>2500</v>
      </c>
      <c r="I245" s="19" t="s">
        <v>95</v>
      </c>
      <c r="N245" s="197">
        <v>2500</v>
      </c>
      <c r="O245" s="197">
        <v>2500</v>
      </c>
      <c r="P245" s="199"/>
    </row>
    <row r="246" spans="2:16" ht="17.25" customHeight="1" x14ac:dyDescent="0.25">
      <c r="B246" s="231">
        <f>B267+1</f>
        <v>136</v>
      </c>
      <c r="C246" s="196" t="s">
        <v>183</v>
      </c>
      <c r="D246" s="197">
        <v>2000</v>
      </c>
      <c r="E246" s="198">
        <v>0</v>
      </c>
      <c r="F246" s="197">
        <v>2000</v>
      </c>
      <c r="G246" s="197">
        <f t="shared" si="53"/>
        <v>2000</v>
      </c>
      <c r="H246" s="197">
        <f t="shared" si="54"/>
        <v>2000</v>
      </c>
      <c r="I246" s="19" t="s">
        <v>95</v>
      </c>
      <c r="N246" s="197">
        <v>2000</v>
      </c>
      <c r="O246" s="197">
        <v>2000</v>
      </c>
      <c r="P246" s="199"/>
    </row>
    <row r="247" spans="2:16" x14ac:dyDescent="0.25">
      <c r="B247" s="231">
        <f>B270+1</f>
        <v>138</v>
      </c>
      <c r="C247" s="196" t="s">
        <v>843</v>
      </c>
      <c r="D247" s="197">
        <v>15400</v>
      </c>
      <c r="E247" s="198"/>
      <c r="F247" s="197">
        <v>15400</v>
      </c>
      <c r="G247" s="197">
        <f t="shared" si="53"/>
        <v>15400</v>
      </c>
      <c r="H247" s="197">
        <f>'[1]68,05,794 contr.ass.municipia'!P1</f>
        <v>15400</v>
      </c>
      <c r="I247" s="19" t="s">
        <v>95</v>
      </c>
      <c r="N247" s="197">
        <v>15400</v>
      </c>
      <c r="O247" s="197">
        <v>15400</v>
      </c>
      <c r="P247" s="199"/>
    </row>
    <row r="248" spans="2:16" x14ac:dyDescent="0.25">
      <c r="B248" s="231">
        <f>B271+1</f>
        <v>143</v>
      </c>
      <c r="C248" s="196" t="s">
        <v>844</v>
      </c>
      <c r="D248" s="197">
        <v>4250</v>
      </c>
      <c r="E248" s="198"/>
      <c r="F248" s="197">
        <v>3750</v>
      </c>
      <c r="G248" s="197">
        <f t="shared" si="53"/>
        <v>3750</v>
      </c>
      <c r="H248" s="197">
        <v>3750</v>
      </c>
      <c r="I248" s="19" t="s">
        <v>95</v>
      </c>
      <c r="N248" s="197">
        <v>3750</v>
      </c>
      <c r="O248" s="197">
        <v>3750</v>
      </c>
      <c r="P248" s="199"/>
    </row>
    <row r="249" spans="2:16" x14ac:dyDescent="0.25">
      <c r="B249" s="231">
        <f>B247+1</f>
        <v>139</v>
      </c>
      <c r="C249" s="196" t="s">
        <v>845</v>
      </c>
      <c r="D249" s="197">
        <v>51.616438356164394</v>
      </c>
      <c r="E249" s="198"/>
      <c r="F249" s="197">
        <v>66.02</v>
      </c>
      <c r="G249" s="197">
        <f t="shared" si="53"/>
        <v>66.02</v>
      </c>
      <c r="H249" s="197">
        <v>66.02</v>
      </c>
      <c r="I249" s="19" t="s">
        <v>95</v>
      </c>
      <c r="N249" s="197">
        <v>66.02</v>
      </c>
      <c r="O249" s="197">
        <v>66.02</v>
      </c>
      <c r="P249" s="199"/>
    </row>
    <row r="250" spans="2:16" x14ac:dyDescent="0.25">
      <c r="B250" s="231">
        <f>B253+1</f>
        <v>135</v>
      </c>
      <c r="C250" s="196" t="s">
        <v>182</v>
      </c>
      <c r="D250" s="197">
        <v>618</v>
      </c>
      <c r="E250" s="198">
        <v>1236</v>
      </c>
      <c r="F250" s="197">
        <v>618</v>
      </c>
      <c r="G250" s="197">
        <f t="shared" si="53"/>
        <v>-618</v>
      </c>
      <c r="H250" s="197">
        <v>0</v>
      </c>
      <c r="I250" t="s">
        <v>846</v>
      </c>
      <c r="N250" s="197">
        <v>0</v>
      </c>
      <c r="O250" s="197">
        <v>0</v>
      </c>
      <c r="P250" s="199"/>
    </row>
    <row r="251" spans="2:16" ht="27" x14ac:dyDescent="0.25">
      <c r="B251" s="231">
        <f>B239+1</f>
        <v>132</v>
      </c>
      <c r="C251" s="196" t="s">
        <v>186</v>
      </c>
      <c r="D251" s="197">
        <v>1600</v>
      </c>
      <c r="E251" s="198">
        <v>1611</v>
      </c>
      <c r="F251" s="197">
        <v>1600</v>
      </c>
      <c r="G251" s="197">
        <f t="shared" si="53"/>
        <v>-11</v>
      </c>
      <c r="H251" s="197">
        <f>'[1]68,05,730 spes.condomin.fontebr'!P1</f>
        <v>1600</v>
      </c>
      <c r="I251" s="19" t="s">
        <v>95</v>
      </c>
      <c r="N251" s="197">
        <v>1600</v>
      </c>
      <c r="O251" s="197">
        <v>1600</v>
      </c>
      <c r="P251" s="199"/>
    </row>
    <row r="252" spans="2:16" ht="27" x14ac:dyDescent="0.25">
      <c r="B252" s="231">
        <f>B240+1</f>
        <v>134</v>
      </c>
      <c r="C252" s="196" t="s">
        <v>847</v>
      </c>
      <c r="D252" s="197">
        <v>11829.839999999998</v>
      </c>
      <c r="E252" s="198">
        <v>7591</v>
      </c>
      <c r="F252" s="197">
        <v>11746.15</v>
      </c>
      <c r="G252" s="197">
        <f t="shared" si="53"/>
        <v>4155.1499999999996</v>
      </c>
      <c r="H252" s="197">
        <f>F252</f>
        <v>11746.15</v>
      </c>
      <c r="I252" s="19" t="s">
        <v>95</v>
      </c>
      <c r="N252" s="197">
        <v>11746.15</v>
      </c>
      <c r="O252" s="197">
        <v>11746.15</v>
      </c>
      <c r="P252" s="199"/>
    </row>
    <row r="253" spans="2:16" x14ac:dyDescent="0.25">
      <c r="B253" s="231">
        <f>B238+1</f>
        <v>134</v>
      </c>
      <c r="C253" s="196" t="s">
        <v>190</v>
      </c>
      <c r="D253" s="197">
        <v>360.13</v>
      </c>
      <c r="E253" s="198">
        <v>198</v>
      </c>
      <c r="F253" s="197">
        <v>360.13</v>
      </c>
      <c r="G253" s="197">
        <f t="shared" si="53"/>
        <v>162.13</v>
      </c>
      <c r="H253" s="197">
        <v>300</v>
      </c>
      <c r="I253" s="19" t="s">
        <v>95</v>
      </c>
      <c r="N253" s="197">
        <v>300</v>
      </c>
      <c r="O253" s="197">
        <v>300</v>
      </c>
      <c r="P253" s="199"/>
    </row>
    <row r="254" spans="2:16" x14ac:dyDescent="0.25">
      <c r="B254" s="231"/>
      <c r="C254" s="196" t="s">
        <v>848</v>
      </c>
      <c r="D254" s="197">
        <v>49</v>
      </c>
      <c r="E254" s="198"/>
      <c r="F254" s="197">
        <v>28.73</v>
      </c>
      <c r="G254" s="197">
        <f t="shared" si="53"/>
        <v>28.73</v>
      </c>
      <c r="H254" s="197">
        <f>F254</f>
        <v>28.73</v>
      </c>
      <c r="I254" s="19" t="s">
        <v>95</v>
      </c>
      <c r="N254" s="197">
        <v>28.73</v>
      </c>
      <c r="O254" s="197">
        <v>28.73</v>
      </c>
      <c r="P254" s="199"/>
    </row>
    <row r="255" spans="2:16" x14ac:dyDescent="0.25">
      <c r="B255" s="231"/>
      <c r="C255" s="332" t="s">
        <v>849</v>
      </c>
      <c r="D255" s="333"/>
      <c r="E255" s="334">
        <f>SUM(E239:E254)</f>
        <v>15455</v>
      </c>
      <c r="F255" s="334">
        <f>SUM(F239:F254)</f>
        <v>43125.74</v>
      </c>
      <c r="G255" s="333"/>
      <c r="H255" s="333">
        <f>SUM(H239:H254)</f>
        <v>42497.61</v>
      </c>
      <c r="I255" s="19"/>
      <c r="N255" s="333">
        <f>SUM(N239:N254)</f>
        <v>42497.61</v>
      </c>
      <c r="O255" s="333">
        <f>SUM(O239:O254)</f>
        <v>42497.61</v>
      </c>
      <c r="P255" s="335"/>
    </row>
    <row r="256" spans="2:16" x14ac:dyDescent="0.25">
      <c r="B256" s="231">
        <f>B236+1</f>
        <v>136</v>
      </c>
      <c r="C256" s="196" t="s">
        <v>850</v>
      </c>
      <c r="D256" s="197">
        <v>64.28</v>
      </c>
      <c r="E256" s="198">
        <v>0</v>
      </c>
      <c r="F256" s="197">
        <v>62.8</v>
      </c>
      <c r="G256" s="197">
        <f t="shared" si="53"/>
        <v>62.8</v>
      </c>
      <c r="H256" s="197">
        <v>500</v>
      </c>
      <c r="I256" s="19" t="s">
        <v>95</v>
      </c>
      <c r="N256" s="197">
        <v>500</v>
      </c>
      <c r="O256" s="197">
        <v>500</v>
      </c>
      <c r="P256" s="199"/>
    </row>
    <row r="257" spans="2:16" x14ac:dyDescent="0.25">
      <c r="B257" s="231"/>
      <c r="C257" s="196" t="s">
        <v>851</v>
      </c>
      <c r="D257" s="197">
        <v>5460.22</v>
      </c>
      <c r="E257" s="198">
        <v>0</v>
      </c>
      <c r="F257" s="197">
        <v>2730.11</v>
      </c>
      <c r="G257" s="197">
        <f t="shared" si="53"/>
        <v>2730.11</v>
      </c>
      <c r="H257" s="197">
        <v>3000</v>
      </c>
      <c r="I257" s="19" t="s">
        <v>95</v>
      </c>
      <c r="N257" s="197">
        <v>3000</v>
      </c>
      <c r="O257" s="197">
        <v>3000</v>
      </c>
      <c r="P257" s="199"/>
    </row>
    <row r="258" spans="2:16" x14ac:dyDescent="0.25">
      <c r="B258" s="231"/>
      <c r="C258" s="196" t="s">
        <v>852</v>
      </c>
      <c r="D258" s="197">
        <v>4.72</v>
      </c>
      <c r="E258" s="198">
        <v>0</v>
      </c>
      <c r="F258" s="197">
        <v>4.04</v>
      </c>
      <c r="G258" s="197">
        <f t="shared" si="53"/>
        <v>4.04</v>
      </c>
      <c r="H258" s="197">
        <v>400</v>
      </c>
      <c r="I258" s="19" t="s">
        <v>95</v>
      </c>
      <c r="N258" s="197">
        <v>400</v>
      </c>
      <c r="O258" s="197">
        <v>400</v>
      </c>
      <c r="P258" s="199"/>
    </row>
    <row r="259" spans="2:16" x14ac:dyDescent="0.25">
      <c r="B259" s="231"/>
      <c r="C259" s="196" t="s">
        <v>853</v>
      </c>
      <c r="D259" s="197"/>
      <c r="E259" s="198">
        <v>0</v>
      </c>
      <c r="F259" s="197"/>
      <c r="G259" s="197">
        <f t="shared" si="53"/>
        <v>0</v>
      </c>
      <c r="H259" s="197">
        <v>200</v>
      </c>
      <c r="I259" s="19" t="s">
        <v>95</v>
      </c>
      <c r="N259" s="197">
        <v>200</v>
      </c>
      <c r="O259" s="197">
        <v>200</v>
      </c>
      <c r="P259" s="199"/>
    </row>
    <row r="260" spans="2:16" x14ac:dyDescent="0.25">
      <c r="B260" s="231"/>
      <c r="C260" s="196" t="s">
        <v>854</v>
      </c>
      <c r="D260" s="197"/>
      <c r="E260" s="198">
        <v>0</v>
      </c>
      <c r="F260" s="197">
        <v>1229.1600000000001</v>
      </c>
      <c r="G260" s="197">
        <f t="shared" si="53"/>
        <v>1229.1600000000001</v>
      </c>
      <c r="H260" s="197">
        <v>5000</v>
      </c>
      <c r="I260" s="19"/>
      <c r="N260" s="197">
        <v>5000</v>
      </c>
      <c r="O260" s="197">
        <v>5000</v>
      </c>
      <c r="P260" s="199"/>
    </row>
    <row r="261" spans="2:16" x14ac:dyDescent="0.25">
      <c r="B261" s="231">
        <f>B299+1</f>
        <v>137</v>
      </c>
      <c r="C261" s="196" t="s">
        <v>191</v>
      </c>
      <c r="D261" s="197">
        <v>480</v>
      </c>
      <c r="E261" s="198">
        <v>0</v>
      </c>
      <c r="F261" s="197">
        <v>480</v>
      </c>
      <c r="G261" s="197">
        <f t="shared" si="53"/>
        <v>480</v>
      </c>
      <c r="H261" s="218">
        <v>6000</v>
      </c>
      <c r="I261" s="19" t="s">
        <v>95</v>
      </c>
      <c r="N261" s="218">
        <v>6000</v>
      </c>
      <c r="O261" s="218">
        <v>6000</v>
      </c>
      <c r="P261" s="229"/>
    </row>
    <row r="262" spans="2:16" x14ac:dyDescent="0.25">
      <c r="B262" s="231"/>
      <c r="C262" s="196" t="s">
        <v>855</v>
      </c>
      <c r="D262" s="197">
        <v>20157.25</v>
      </c>
      <c r="E262" s="198">
        <v>0</v>
      </c>
      <c r="F262" s="197">
        <v>17472.57</v>
      </c>
      <c r="G262" s="197">
        <f t="shared" si="53"/>
        <v>17472.57</v>
      </c>
      <c r="H262" s="197">
        <v>34000</v>
      </c>
      <c r="I262" s="19" t="s">
        <v>95</v>
      </c>
      <c r="N262" s="197">
        <v>34000</v>
      </c>
      <c r="O262" s="197">
        <v>34000</v>
      </c>
      <c r="P262" s="199"/>
    </row>
    <row r="263" spans="2:16" x14ac:dyDescent="0.25">
      <c r="B263" s="231"/>
      <c r="C263" s="196" t="s">
        <v>856</v>
      </c>
      <c r="D263" s="197">
        <v>7600</v>
      </c>
      <c r="E263" s="198">
        <v>0</v>
      </c>
      <c r="F263" s="197">
        <v>9400</v>
      </c>
      <c r="G263" s="197">
        <f t="shared" si="53"/>
        <v>9400</v>
      </c>
      <c r="H263" s="197">
        <v>12000</v>
      </c>
      <c r="I263" s="19" t="s">
        <v>95</v>
      </c>
      <c r="N263" s="197">
        <v>12000</v>
      </c>
      <c r="O263" s="197">
        <v>12000</v>
      </c>
      <c r="P263" s="199"/>
    </row>
    <row r="264" spans="2:16" x14ac:dyDescent="0.25">
      <c r="B264" s="231"/>
      <c r="C264" s="196" t="s">
        <v>857</v>
      </c>
      <c r="D264" s="197">
        <v>49250</v>
      </c>
      <c r="E264" s="198">
        <v>0</v>
      </c>
      <c r="F264" s="197">
        <v>49250.01</v>
      </c>
      <c r="G264" s="197">
        <f t="shared" si="53"/>
        <v>49250.01</v>
      </c>
      <c r="H264" s="336">
        <v>118500</v>
      </c>
      <c r="I264" s="19" t="s">
        <v>95</v>
      </c>
      <c r="N264" s="337"/>
      <c r="O264" s="337"/>
      <c r="P264" s="199"/>
    </row>
    <row r="265" spans="2:16" ht="27" x14ac:dyDescent="0.25">
      <c r="B265" s="231">
        <f>B243+1</f>
        <v>136</v>
      </c>
      <c r="C265" s="196" t="s">
        <v>195</v>
      </c>
      <c r="D265" s="197">
        <v>0</v>
      </c>
      <c r="E265" s="198">
        <v>0</v>
      </c>
      <c r="F265" s="197">
        <v>0</v>
      </c>
      <c r="G265" s="197">
        <f t="shared" si="53"/>
        <v>0</v>
      </c>
      <c r="H265" s="197">
        <f>F265</f>
        <v>0</v>
      </c>
      <c r="I265" s="19" t="s">
        <v>95</v>
      </c>
      <c r="N265" s="197">
        <v>0</v>
      </c>
      <c r="O265" s="197">
        <f>M265</f>
        <v>0</v>
      </c>
      <c r="P265" s="199"/>
    </row>
    <row r="266" spans="2:16" x14ac:dyDescent="0.25">
      <c r="B266" s="231">
        <f>B244+1</f>
        <v>137</v>
      </c>
      <c r="C266" s="196" t="s">
        <v>858</v>
      </c>
      <c r="D266" s="197">
        <v>0</v>
      </c>
      <c r="E266" s="198">
        <v>79075</v>
      </c>
      <c r="F266" s="197">
        <v>0</v>
      </c>
      <c r="G266" s="197">
        <f t="shared" si="53"/>
        <v>-79075</v>
      </c>
      <c r="H266" s="197">
        <f>F266</f>
        <v>0</v>
      </c>
      <c r="I266" s="19" t="s">
        <v>95</v>
      </c>
      <c r="N266" s="197">
        <v>0</v>
      </c>
      <c r="O266" s="197">
        <f>M266</f>
        <v>0</v>
      </c>
      <c r="P266" s="199"/>
    </row>
    <row r="267" spans="2:16" x14ac:dyDescent="0.25">
      <c r="B267" s="231">
        <f>B293+1</f>
        <v>135</v>
      </c>
      <c r="C267" s="196" t="s">
        <v>196</v>
      </c>
      <c r="D267" s="197">
        <v>0</v>
      </c>
      <c r="E267" s="198">
        <v>0</v>
      </c>
      <c r="F267" s="197">
        <v>0</v>
      </c>
      <c r="G267" s="197">
        <f t="shared" si="53"/>
        <v>0</v>
      </c>
      <c r="H267" s="197">
        <f>F267</f>
        <v>0</v>
      </c>
      <c r="I267" s="19" t="s">
        <v>95</v>
      </c>
      <c r="N267" s="197">
        <v>0</v>
      </c>
      <c r="O267" s="197">
        <f>M267</f>
        <v>0</v>
      </c>
      <c r="P267" s="199"/>
    </row>
    <row r="268" spans="2:16" x14ac:dyDescent="0.25">
      <c r="B268" s="231">
        <f>B245+1</f>
        <v>138</v>
      </c>
      <c r="C268" s="196" t="s">
        <v>199</v>
      </c>
      <c r="D268" s="197">
        <v>346.48</v>
      </c>
      <c r="E268" s="198">
        <v>284</v>
      </c>
      <c r="F268" s="197">
        <v>250.48</v>
      </c>
      <c r="G268" s="197">
        <f t="shared" si="53"/>
        <v>-33.52000000000001</v>
      </c>
      <c r="H268" s="197">
        <v>300</v>
      </c>
      <c r="I268" s="19" t="s">
        <v>95</v>
      </c>
      <c r="N268" s="197">
        <v>300</v>
      </c>
      <c r="O268" s="197">
        <v>300</v>
      </c>
      <c r="P268" s="199"/>
    </row>
    <row r="269" spans="2:16" x14ac:dyDescent="0.25">
      <c r="B269" s="231">
        <f>B296+1</f>
        <v>139</v>
      </c>
      <c r="C269" s="196" t="s">
        <v>200</v>
      </c>
      <c r="D269" s="197">
        <v>1527.0500000000002</v>
      </c>
      <c r="E269" s="198">
        <v>215</v>
      </c>
      <c r="F269" s="197">
        <v>2390.85</v>
      </c>
      <c r="G269" s="197">
        <f t="shared" si="53"/>
        <v>2175.85</v>
      </c>
      <c r="H269" s="197">
        <v>3000</v>
      </c>
      <c r="I269" s="19" t="s">
        <v>95</v>
      </c>
      <c r="N269" s="197">
        <v>3000</v>
      </c>
      <c r="O269" s="197">
        <v>3000</v>
      </c>
      <c r="P269" s="199"/>
    </row>
    <row r="270" spans="2:16" x14ac:dyDescent="0.25">
      <c r="B270" s="231">
        <f>B246+1</f>
        <v>137</v>
      </c>
      <c r="C270" s="196" t="s">
        <v>859</v>
      </c>
      <c r="D270" s="197">
        <v>678.5</v>
      </c>
      <c r="E270" s="198">
        <v>196</v>
      </c>
      <c r="F270" s="197">
        <v>998.5</v>
      </c>
      <c r="G270" s="197">
        <f t="shared" si="53"/>
        <v>802.5</v>
      </c>
      <c r="H270" s="197">
        <f>F270</f>
        <v>998.5</v>
      </c>
      <c r="I270" s="19" t="s">
        <v>95</v>
      </c>
      <c r="N270" s="197">
        <v>998.5</v>
      </c>
      <c r="O270" s="197">
        <f>N270</f>
        <v>998.5</v>
      </c>
      <c r="P270" s="199"/>
    </row>
    <row r="271" spans="2:16" x14ac:dyDescent="0.25">
      <c r="B271" s="231">
        <f>B297+1</f>
        <v>142</v>
      </c>
      <c r="C271" s="196" t="s">
        <v>181</v>
      </c>
      <c r="D271" s="197">
        <v>6430.12</v>
      </c>
      <c r="E271" s="198">
        <v>4974</v>
      </c>
      <c r="F271" s="197">
        <v>2666.12</v>
      </c>
      <c r="G271" s="197">
        <f t="shared" si="53"/>
        <v>-2307.88</v>
      </c>
      <c r="H271" s="197">
        <f>F271</f>
        <v>2666.12</v>
      </c>
      <c r="I271" s="19" t="s">
        <v>95</v>
      </c>
      <c r="N271" s="197">
        <v>2666.12</v>
      </c>
      <c r="O271" s="197">
        <f>N271</f>
        <v>2666.12</v>
      </c>
      <c r="P271" s="199"/>
    </row>
    <row r="272" spans="2:16" ht="27" x14ac:dyDescent="0.25">
      <c r="B272" s="231">
        <f>B268+1</f>
        <v>139</v>
      </c>
      <c r="C272" s="196" t="s">
        <v>860</v>
      </c>
      <c r="D272" s="197">
        <v>3393.25</v>
      </c>
      <c r="E272" s="198"/>
      <c r="F272" s="197">
        <v>7393.25</v>
      </c>
      <c r="G272" s="197">
        <f t="shared" si="53"/>
        <v>7393.25</v>
      </c>
      <c r="H272" s="338">
        <v>190000</v>
      </c>
      <c r="I272" s="19" t="s">
        <v>95</v>
      </c>
      <c r="N272" s="337"/>
      <c r="O272" s="337"/>
      <c r="P272" s="339"/>
    </row>
    <row r="273" spans="2:17" ht="40.5" x14ac:dyDescent="0.25">
      <c r="B273" s="231">
        <f>B280+1</f>
        <v>141</v>
      </c>
      <c r="C273" s="340" t="s">
        <v>861</v>
      </c>
      <c r="D273" s="197">
        <v>67857</v>
      </c>
      <c r="E273" s="198"/>
      <c r="F273" s="197"/>
      <c r="G273" s="197">
        <f t="shared" si="53"/>
        <v>0</v>
      </c>
      <c r="H273" s="197"/>
      <c r="I273" s="19" t="s">
        <v>95</v>
      </c>
      <c r="N273" s="197"/>
      <c r="O273" s="197"/>
      <c r="P273" s="199"/>
    </row>
    <row r="274" spans="2:17" ht="27" x14ac:dyDescent="0.25">
      <c r="B274" s="231">
        <f>B281+1</f>
        <v>146</v>
      </c>
      <c r="C274" s="196" t="s">
        <v>862</v>
      </c>
      <c r="D274" s="197"/>
      <c r="E274" s="198"/>
      <c r="F274" s="197"/>
      <c r="G274" s="197">
        <f t="shared" si="53"/>
        <v>0</v>
      </c>
      <c r="H274" s="197"/>
      <c r="I274" s="19" t="s">
        <v>95</v>
      </c>
      <c r="N274" s="197"/>
      <c r="O274" s="197"/>
      <c r="P274" s="199"/>
    </row>
    <row r="275" spans="2:17" x14ac:dyDescent="0.25">
      <c r="B275" s="231">
        <f>B269+1</f>
        <v>140</v>
      </c>
      <c r="C275" s="196" t="s">
        <v>863</v>
      </c>
      <c r="D275" s="197">
        <v>6944.9000000000005</v>
      </c>
      <c r="E275" s="198"/>
      <c r="F275" s="197">
        <v>17598.939999999999</v>
      </c>
      <c r="G275" s="197">
        <f t="shared" si="53"/>
        <v>17598.939999999999</v>
      </c>
      <c r="H275" s="338">
        <v>50000</v>
      </c>
      <c r="I275" s="241" t="s">
        <v>41</v>
      </c>
      <c r="N275" s="337">
        <v>50000</v>
      </c>
      <c r="O275" s="337">
        <v>50000</v>
      </c>
      <c r="P275" s="339"/>
    </row>
    <row r="276" spans="2:17" ht="27" x14ac:dyDescent="0.25">
      <c r="B276" s="231">
        <f>B273+1</f>
        <v>142</v>
      </c>
      <c r="C276" s="196" t="s">
        <v>864</v>
      </c>
      <c r="D276" s="197">
        <v>56730.1</v>
      </c>
      <c r="E276" s="198"/>
      <c r="F276" s="197"/>
      <c r="G276" s="197">
        <f t="shared" si="53"/>
        <v>0</v>
      </c>
      <c r="H276" s="197"/>
      <c r="I276" s="241" t="s">
        <v>41</v>
      </c>
      <c r="N276" s="197"/>
      <c r="O276" s="197"/>
      <c r="P276" s="199"/>
    </row>
    <row r="277" spans="2:17" x14ac:dyDescent="0.25">
      <c r="B277" s="231"/>
      <c r="C277" s="196" t="s">
        <v>865</v>
      </c>
      <c r="D277" s="197">
        <v>4250</v>
      </c>
      <c r="E277" s="198"/>
      <c r="F277" s="197">
        <v>31195.15</v>
      </c>
      <c r="G277" s="197">
        <f t="shared" si="53"/>
        <v>31195.15</v>
      </c>
      <c r="H277" s="197">
        <v>10000</v>
      </c>
      <c r="I277" s="19" t="s">
        <v>95</v>
      </c>
      <c r="N277" s="197">
        <v>10000</v>
      </c>
      <c r="O277" s="197">
        <v>10000</v>
      </c>
      <c r="P277" s="199"/>
    </row>
    <row r="278" spans="2:17" ht="27" x14ac:dyDescent="0.25">
      <c r="B278" s="231">
        <f>B284+1</f>
        <v>141</v>
      </c>
      <c r="C278" s="340" t="s">
        <v>866</v>
      </c>
      <c r="D278" s="197">
        <v>2800</v>
      </c>
      <c r="E278" s="198"/>
      <c r="F278" s="197"/>
      <c r="G278" s="197">
        <f t="shared" si="53"/>
        <v>0</v>
      </c>
      <c r="H278" s="197">
        <v>30000</v>
      </c>
      <c r="I278" s="19" t="s">
        <v>95</v>
      </c>
      <c r="N278" s="337">
        <v>30000</v>
      </c>
      <c r="O278" s="337">
        <v>30000</v>
      </c>
      <c r="P278" s="199"/>
    </row>
    <row r="279" spans="2:17" ht="27" x14ac:dyDescent="0.25">
      <c r="B279" s="231">
        <f>B286+1</f>
        <v>142</v>
      </c>
      <c r="C279" s="196" t="s">
        <v>867</v>
      </c>
      <c r="D279" s="197">
        <v>19900</v>
      </c>
      <c r="E279" s="198"/>
      <c r="F279" s="197"/>
      <c r="G279" s="197">
        <f t="shared" si="53"/>
        <v>0</v>
      </c>
      <c r="H279" s="197"/>
      <c r="I279" s="19" t="s">
        <v>95</v>
      </c>
      <c r="N279" s="337"/>
      <c r="O279" s="337"/>
      <c r="P279" s="199"/>
      <c r="Q279" t="s">
        <v>868</v>
      </c>
    </row>
    <row r="280" spans="2:17" ht="27" x14ac:dyDescent="0.25">
      <c r="B280" s="231">
        <f>B285+1</f>
        <v>140</v>
      </c>
      <c r="C280" s="340" t="s">
        <v>869</v>
      </c>
      <c r="D280" s="197">
        <v>3900</v>
      </c>
      <c r="E280" s="198"/>
      <c r="F280" s="197"/>
      <c r="G280" s="197">
        <f t="shared" si="53"/>
        <v>0</v>
      </c>
      <c r="H280" s="197">
        <v>49000</v>
      </c>
      <c r="I280" s="19" t="s">
        <v>95</v>
      </c>
      <c r="N280" s="337">
        <v>49000</v>
      </c>
      <c r="O280" s="337">
        <v>49000</v>
      </c>
      <c r="P280" s="199"/>
    </row>
    <row r="281" spans="2:17" ht="27" x14ac:dyDescent="0.25">
      <c r="B281" s="231">
        <f>B288+1</f>
        <v>145</v>
      </c>
      <c r="C281" s="340" t="s">
        <v>870</v>
      </c>
      <c r="D281" s="197">
        <v>1900</v>
      </c>
      <c r="E281" s="198"/>
      <c r="F281" s="197"/>
      <c r="G281" s="197">
        <f t="shared" si="53"/>
        <v>0</v>
      </c>
      <c r="H281" s="197">
        <v>39800</v>
      </c>
      <c r="I281" s="19" t="s">
        <v>95</v>
      </c>
      <c r="N281" s="337">
        <v>39800</v>
      </c>
      <c r="O281" s="337">
        <v>39800</v>
      </c>
      <c r="P281" s="199"/>
    </row>
    <row r="282" spans="2:17" ht="27" x14ac:dyDescent="0.25">
      <c r="B282" s="231">
        <f>B278+1</f>
        <v>142</v>
      </c>
      <c r="C282" s="196" t="s">
        <v>871</v>
      </c>
      <c r="D282" s="197">
        <v>19500</v>
      </c>
      <c r="E282" s="198"/>
      <c r="F282" s="197"/>
      <c r="G282" s="197">
        <f t="shared" si="53"/>
        <v>0</v>
      </c>
      <c r="H282" s="197"/>
      <c r="I282" s="19" t="s">
        <v>95</v>
      </c>
      <c r="N282" s="197"/>
      <c r="O282" s="197"/>
      <c r="P282" s="199"/>
    </row>
    <row r="283" spans="2:17" ht="40.5" x14ac:dyDescent="0.25">
      <c r="B283" s="231">
        <f>B279+1</f>
        <v>143</v>
      </c>
      <c r="C283" s="196" t="s">
        <v>872</v>
      </c>
      <c r="D283" s="197">
        <v>60280</v>
      </c>
      <c r="E283" s="198"/>
      <c r="F283" s="197"/>
      <c r="G283" s="197">
        <f t="shared" si="53"/>
        <v>0</v>
      </c>
      <c r="H283" s="197"/>
      <c r="I283" s="19" t="s">
        <v>95</v>
      </c>
      <c r="N283" s="197"/>
      <c r="O283" s="197"/>
      <c r="P283" s="199"/>
    </row>
    <row r="284" spans="2:17" x14ac:dyDescent="0.25">
      <c r="B284" s="231">
        <f>B272+1</f>
        <v>140</v>
      </c>
      <c r="C284" s="196" t="s">
        <v>873</v>
      </c>
      <c r="D284" s="197">
        <v>3500</v>
      </c>
      <c r="E284" s="198"/>
      <c r="F284" s="197">
        <v>3500</v>
      </c>
      <c r="G284" s="197">
        <f t="shared" si="53"/>
        <v>3500</v>
      </c>
      <c r="H284" s="197">
        <v>1000</v>
      </c>
      <c r="I284" s="19" t="s">
        <v>95</v>
      </c>
      <c r="N284" s="197">
        <v>1000</v>
      </c>
      <c r="O284" s="197">
        <v>1000</v>
      </c>
      <c r="P284" s="199"/>
    </row>
    <row r="285" spans="2:17" ht="27" x14ac:dyDescent="0.25">
      <c r="B285" s="231">
        <f>B247+1</f>
        <v>139</v>
      </c>
      <c r="C285" s="196" t="s">
        <v>874</v>
      </c>
      <c r="D285" s="197">
        <v>8000</v>
      </c>
      <c r="E285" s="198"/>
      <c r="F285" s="197"/>
      <c r="G285" s="197">
        <f t="shared" si="53"/>
        <v>0</v>
      </c>
      <c r="H285" s="197"/>
      <c r="I285" s="19" t="s">
        <v>95</v>
      </c>
      <c r="N285" s="197"/>
      <c r="O285" s="197"/>
      <c r="P285" s="199"/>
    </row>
    <row r="286" spans="2:17" x14ac:dyDescent="0.25">
      <c r="B286" s="231">
        <f>B275+1</f>
        <v>141</v>
      </c>
      <c r="C286" s="196" t="s">
        <v>875</v>
      </c>
      <c r="D286" s="197">
        <v>32875</v>
      </c>
      <c r="E286" s="198"/>
      <c r="F286" s="197">
        <v>50925</v>
      </c>
      <c r="G286" s="197">
        <f t="shared" si="53"/>
        <v>50925</v>
      </c>
      <c r="H286" s="197">
        <v>58000</v>
      </c>
      <c r="I286" s="19" t="s">
        <v>95</v>
      </c>
      <c r="N286" s="337">
        <v>58000</v>
      </c>
      <c r="O286" s="337">
        <v>58000</v>
      </c>
      <c r="P286" s="199"/>
    </row>
    <row r="287" spans="2:17" ht="27" x14ac:dyDescent="0.25">
      <c r="B287" s="231">
        <f>B283+1</f>
        <v>144</v>
      </c>
      <c r="C287" s="196" t="s">
        <v>876</v>
      </c>
      <c r="D287" s="197">
        <v>31500</v>
      </c>
      <c r="E287" s="198"/>
      <c r="F287" s="197"/>
      <c r="G287" s="197">
        <f t="shared" si="53"/>
        <v>0</v>
      </c>
      <c r="H287" s="197"/>
      <c r="I287" s="19" t="s">
        <v>95</v>
      </c>
      <c r="N287" s="197"/>
      <c r="O287" s="197"/>
      <c r="P287" s="199"/>
    </row>
    <row r="288" spans="2:17" ht="40.5" x14ac:dyDescent="0.25">
      <c r="B288" s="231">
        <f>B248+1</f>
        <v>144</v>
      </c>
      <c r="C288" s="196" t="s">
        <v>877</v>
      </c>
      <c r="D288" s="197">
        <v>7600</v>
      </c>
      <c r="E288" s="198"/>
      <c r="F288" s="197"/>
      <c r="G288" s="197">
        <f t="shared" si="53"/>
        <v>0</v>
      </c>
      <c r="H288" s="197"/>
      <c r="I288" s="19" t="s">
        <v>95</v>
      </c>
      <c r="N288" s="197"/>
      <c r="O288" s="197"/>
      <c r="P288" s="199"/>
    </row>
    <row r="289" spans="1:16" ht="27" x14ac:dyDescent="0.25">
      <c r="B289" s="231"/>
      <c r="C289" s="341" t="s">
        <v>878</v>
      </c>
      <c r="D289" s="218">
        <v>1800</v>
      </c>
      <c r="E289" s="227"/>
      <c r="F289" s="218"/>
      <c r="G289" s="197">
        <f t="shared" si="53"/>
        <v>0</v>
      </c>
      <c r="H289" s="197"/>
      <c r="I289" s="19" t="s">
        <v>95</v>
      </c>
      <c r="N289" s="197"/>
      <c r="O289" s="197"/>
      <c r="P289" s="199"/>
    </row>
    <row r="290" spans="1:16" ht="27" x14ac:dyDescent="0.25">
      <c r="B290" s="231"/>
      <c r="C290" s="255" t="s">
        <v>879</v>
      </c>
      <c r="D290" s="218"/>
      <c r="E290" s="227"/>
      <c r="F290" s="218"/>
      <c r="G290" s="197"/>
      <c r="H290" s="256">
        <f>42000/12*9</f>
        <v>31500</v>
      </c>
      <c r="I290" s="257"/>
      <c r="J290" s="257"/>
      <c r="K290" s="257"/>
      <c r="L290" s="257"/>
      <c r="M290" s="257"/>
      <c r="N290" s="256">
        <v>39000</v>
      </c>
      <c r="O290" s="342"/>
      <c r="P290" s="343"/>
    </row>
    <row r="291" spans="1:16" ht="75" x14ac:dyDescent="0.3">
      <c r="B291" s="231"/>
      <c r="C291" s="344" t="s">
        <v>880</v>
      </c>
      <c r="D291" s="345"/>
      <c r="E291" s="346">
        <f>SUM(E256:E289)</f>
        <v>84744</v>
      </c>
      <c r="F291" s="346">
        <f>SUM(F256:F289)</f>
        <v>197546.98</v>
      </c>
      <c r="G291" s="347"/>
      <c r="H291" s="346">
        <f>SUM(H256:H290)</f>
        <v>645864.62</v>
      </c>
      <c r="I291" s="19"/>
      <c r="N291" s="346">
        <f>SUM(N256:N290)</f>
        <v>344864.62</v>
      </c>
      <c r="O291" s="346">
        <f>SUM(O256:O290)</f>
        <v>305864.62</v>
      </c>
      <c r="P291" s="348"/>
    </row>
    <row r="292" spans="1:16" ht="27" x14ac:dyDescent="0.25">
      <c r="B292" s="231">
        <f>B294+1</f>
        <v>140</v>
      </c>
      <c r="C292" s="196" t="s">
        <v>187</v>
      </c>
      <c r="D292" s="197">
        <v>0</v>
      </c>
      <c r="E292" s="198">
        <v>159</v>
      </c>
      <c r="F292" s="197">
        <v>0</v>
      </c>
      <c r="G292" s="197">
        <f t="shared" ref="G292:G297" si="55">F292-E292</f>
        <v>-159</v>
      </c>
      <c r="H292" s="197">
        <f>F292</f>
        <v>0</v>
      </c>
      <c r="I292" s="19" t="s">
        <v>95</v>
      </c>
      <c r="N292" s="197">
        <f t="shared" ref="N292:O294" si="56">L292</f>
        <v>0</v>
      </c>
      <c r="O292" s="197">
        <f t="shared" si="56"/>
        <v>0</v>
      </c>
      <c r="P292" s="199"/>
    </row>
    <row r="293" spans="1:16" ht="27" x14ac:dyDescent="0.25">
      <c r="B293" s="231">
        <f>B241+1</f>
        <v>134</v>
      </c>
      <c r="C293" s="196" t="s">
        <v>193</v>
      </c>
      <c r="D293" s="197">
        <v>0</v>
      </c>
      <c r="E293" s="198">
        <v>690</v>
      </c>
      <c r="F293" s="197">
        <v>0</v>
      </c>
      <c r="G293" s="197">
        <f t="shared" si="55"/>
        <v>-690</v>
      </c>
      <c r="H293" s="197">
        <f>F293</f>
        <v>0</v>
      </c>
      <c r="I293" s="19" t="s">
        <v>95</v>
      </c>
      <c r="N293" s="197">
        <f t="shared" si="56"/>
        <v>0</v>
      </c>
      <c r="O293" s="197">
        <f t="shared" si="56"/>
        <v>0</v>
      </c>
      <c r="P293" s="199"/>
    </row>
    <row r="294" spans="1:16" x14ac:dyDescent="0.25">
      <c r="B294" s="231">
        <f>B242+1</f>
        <v>139</v>
      </c>
      <c r="C294" s="196" t="s">
        <v>194</v>
      </c>
      <c r="D294" s="197">
        <v>0</v>
      </c>
      <c r="E294" s="198">
        <v>0</v>
      </c>
      <c r="F294" s="197">
        <v>0</v>
      </c>
      <c r="G294" s="197">
        <f t="shared" si="55"/>
        <v>0</v>
      </c>
      <c r="H294" s="197">
        <f>F294</f>
        <v>0</v>
      </c>
      <c r="I294" s="19" t="s">
        <v>95</v>
      </c>
      <c r="N294" s="197">
        <f t="shared" si="56"/>
        <v>0</v>
      </c>
      <c r="O294" s="197">
        <f t="shared" si="56"/>
        <v>0</v>
      </c>
      <c r="P294" s="199"/>
    </row>
    <row r="295" spans="1:16" x14ac:dyDescent="0.25">
      <c r="B295" s="231">
        <f>B227+1</f>
        <v>132</v>
      </c>
      <c r="C295" s="196" t="s">
        <v>188</v>
      </c>
      <c r="D295" s="197">
        <v>3200</v>
      </c>
      <c r="E295" s="198">
        <v>4232</v>
      </c>
      <c r="F295" s="197">
        <v>2900</v>
      </c>
      <c r="G295" s="197">
        <f t="shared" si="55"/>
        <v>-1332</v>
      </c>
      <c r="H295" s="197">
        <v>3000</v>
      </c>
      <c r="I295" s="19" t="s">
        <v>95</v>
      </c>
      <c r="N295" s="197">
        <v>3000</v>
      </c>
      <c r="O295" s="197">
        <v>3000</v>
      </c>
      <c r="P295" s="199"/>
    </row>
    <row r="296" spans="1:16" x14ac:dyDescent="0.25">
      <c r="B296" s="231">
        <f>B266+1</f>
        <v>138</v>
      </c>
      <c r="C296" s="196" t="s">
        <v>197</v>
      </c>
      <c r="D296" s="197">
        <v>0</v>
      </c>
      <c r="E296" s="198">
        <v>2080</v>
      </c>
      <c r="F296" s="197">
        <v>0</v>
      </c>
      <c r="G296" s="197">
        <f t="shared" si="55"/>
        <v>-2080</v>
      </c>
      <c r="H296" s="197">
        <f>F296</f>
        <v>0</v>
      </c>
      <c r="I296" s="19" t="s">
        <v>95</v>
      </c>
      <c r="N296" s="197">
        <f>L296</f>
        <v>0</v>
      </c>
      <c r="O296" s="197">
        <f>M296</f>
        <v>0</v>
      </c>
      <c r="P296" s="199"/>
    </row>
    <row r="297" spans="1:16" ht="18" customHeight="1" x14ac:dyDescent="0.25">
      <c r="B297" s="231">
        <f>B292+1</f>
        <v>141</v>
      </c>
      <c r="C297" s="196" t="s">
        <v>198</v>
      </c>
      <c r="D297" s="197">
        <v>0</v>
      </c>
      <c r="E297" s="198">
        <v>0</v>
      </c>
      <c r="F297" s="197">
        <v>0</v>
      </c>
      <c r="G297" s="197">
        <f t="shared" si="55"/>
        <v>0</v>
      </c>
      <c r="H297" s="197">
        <f>F297</f>
        <v>0</v>
      </c>
      <c r="I297" s="19" t="s">
        <v>95</v>
      </c>
      <c r="N297" s="197">
        <f>L297</f>
        <v>0</v>
      </c>
      <c r="O297" s="197">
        <f>M297</f>
        <v>0</v>
      </c>
      <c r="P297" s="199"/>
    </row>
    <row r="298" spans="1:16" ht="18" customHeight="1" x14ac:dyDescent="0.25">
      <c r="B298" s="231"/>
      <c r="C298" s="332" t="s">
        <v>881</v>
      </c>
      <c r="D298" s="333"/>
      <c r="E298" s="334">
        <f>SUM(E292:E297)</f>
        <v>7161</v>
      </c>
      <c r="F298" s="334">
        <f>SUM(F292:F297)</f>
        <v>2900</v>
      </c>
      <c r="G298" s="333"/>
      <c r="H298" s="334">
        <f>SUM(H292:H297)</f>
        <v>3000</v>
      </c>
      <c r="I298" s="19"/>
      <c r="N298" s="334">
        <f>SUM(N292:N297)</f>
        <v>3000</v>
      </c>
      <c r="O298" s="334">
        <f>SUM(O292:O297)</f>
        <v>3000</v>
      </c>
      <c r="P298" s="349"/>
    </row>
    <row r="299" spans="1:16" x14ac:dyDescent="0.25">
      <c r="A299" s="350">
        <f>F299+F301+F302+F303+F304+F305+F306+F307+F308+F309+F310+F311+F312+F313+F314+F315+F316+F317+F318+F319+F320+F321+F322+F323+F324+F325</f>
        <v>91235.010000000009</v>
      </c>
      <c r="B299" s="231">
        <f>B236+1</f>
        <v>136</v>
      </c>
      <c r="C299" s="351" t="s">
        <v>189</v>
      </c>
      <c r="D299" s="326">
        <v>5725</v>
      </c>
      <c r="E299" s="352">
        <v>196</v>
      </c>
      <c r="F299" s="326">
        <v>5723.96</v>
      </c>
      <c r="G299" s="326">
        <f>F299-E299</f>
        <v>5527.96</v>
      </c>
      <c r="H299" s="326">
        <f>F299</f>
        <v>5723.96</v>
      </c>
      <c r="I299" s="353" t="s">
        <v>95</v>
      </c>
      <c r="J299" s="354"/>
      <c r="K299" s="354"/>
      <c r="L299" s="354"/>
      <c r="M299" s="354"/>
      <c r="N299" s="326">
        <v>5723.96</v>
      </c>
      <c r="O299" s="326">
        <v>5723.96</v>
      </c>
      <c r="P299" s="355"/>
    </row>
    <row r="300" spans="1:16" x14ac:dyDescent="0.25">
      <c r="B300" s="231"/>
      <c r="C300" s="351" t="s">
        <v>882</v>
      </c>
      <c r="D300" s="326">
        <v>7540</v>
      </c>
      <c r="E300" s="352">
        <v>0</v>
      </c>
      <c r="F300" s="326">
        <v>0</v>
      </c>
      <c r="G300" s="326">
        <f>F300-E300</f>
        <v>0</v>
      </c>
      <c r="H300" s="326">
        <f>'[1]68,05,737 comp.pres.cda tribut'!P1</f>
        <v>0</v>
      </c>
      <c r="I300" s="353" t="s">
        <v>95</v>
      </c>
      <c r="J300" s="354"/>
      <c r="K300" s="354"/>
      <c r="L300" s="354"/>
      <c r="M300" s="354"/>
      <c r="N300" s="326">
        <v>0</v>
      </c>
      <c r="O300" s="326">
        <v>0</v>
      </c>
      <c r="P300" s="355"/>
    </row>
    <row r="301" spans="1:16" x14ac:dyDescent="0.25">
      <c r="B301" s="231"/>
      <c r="C301" s="351" t="s">
        <v>883</v>
      </c>
      <c r="D301" s="326">
        <v>693</v>
      </c>
      <c r="E301" s="352">
        <v>0</v>
      </c>
      <c r="F301" s="326">
        <v>520</v>
      </c>
      <c r="G301" s="326">
        <f t="shared" si="53"/>
        <v>520</v>
      </c>
      <c r="H301" s="326">
        <f t="shared" ref="H301:H302" si="57">F301</f>
        <v>520</v>
      </c>
      <c r="I301" s="353" t="s">
        <v>95</v>
      </c>
      <c r="J301" s="354"/>
      <c r="K301" s="354"/>
      <c r="L301" s="354"/>
      <c r="M301" s="354"/>
      <c r="N301" s="326">
        <v>520</v>
      </c>
      <c r="O301" s="326">
        <v>520</v>
      </c>
      <c r="P301" s="355"/>
    </row>
    <row r="302" spans="1:16" x14ac:dyDescent="0.25">
      <c r="B302" s="231"/>
      <c r="C302" s="351" t="s">
        <v>884</v>
      </c>
      <c r="D302" s="326">
        <v>12450</v>
      </c>
      <c r="E302" s="352">
        <v>0</v>
      </c>
      <c r="F302" s="326">
        <v>13386.84</v>
      </c>
      <c r="G302" s="326">
        <f t="shared" si="53"/>
        <v>13386.84</v>
      </c>
      <c r="H302" s="326">
        <f t="shared" si="57"/>
        <v>13386.84</v>
      </c>
      <c r="I302" s="353" t="s">
        <v>95</v>
      </c>
      <c r="J302" s="354"/>
      <c r="K302" s="354"/>
      <c r="L302" s="354"/>
      <c r="M302" s="354"/>
      <c r="N302" s="326">
        <v>13386.84</v>
      </c>
      <c r="O302" s="326">
        <v>13386.84</v>
      </c>
      <c r="P302" s="355"/>
    </row>
    <row r="303" spans="1:16" x14ac:dyDescent="0.25">
      <c r="B303" s="231"/>
      <c r="C303" s="351" t="s">
        <v>885</v>
      </c>
      <c r="D303" s="326">
        <v>3685</v>
      </c>
      <c r="E303" s="352">
        <v>0</v>
      </c>
      <c r="F303" s="326">
        <v>3684.6</v>
      </c>
      <c r="G303" s="326">
        <f t="shared" si="53"/>
        <v>3684.6</v>
      </c>
      <c r="H303" s="326">
        <f>F303</f>
        <v>3684.6</v>
      </c>
      <c r="I303" s="353" t="s">
        <v>95</v>
      </c>
      <c r="J303" s="354"/>
      <c r="K303" s="354"/>
      <c r="L303" s="354"/>
      <c r="M303" s="354"/>
      <c r="N303" s="326">
        <v>3684.6</v>
      </c>
      <c r="O303" s="326">
        <v>3684.6</v>
      </c>
      <c r="P303" s="355"/>
    </row>
    <row r="304" spans="1:16" x14ac:dyDescent="0.25">
      <c r="B304" s="231"/>
      <c r="C304" s="351" t="s">
        <v>886</v>
      </c>
      <c r="D304" s="326">
        <v>7281</v>
      </c>
      <c r="E304" s="352">
        <v>0</v>
      </c>
      <c r="F304" s="326">
        <v>7280</v>
      </c>
      <c r="G304" s="326">
        <f t="shared" si="53"/>
        <v>7280</v>
      </c>
      <c r="H304" s="326">
        <f>F304</f>
        <v>7280</v>
      </c>
      <c r="I304" s="353" t="s">
        <v>95</v>
      </c>
      <c r="J304" s="354"/>
      <c r="K304" s="354"/>
      <c r="L304" s="354"/>
      <c r="M304" s="354"/>
      <c r="N304" s="326">
        <v>7280</v>
      </c>
      <c r="O304" s="326">
        <v>7280</v>
      </c>
      <c r="P304" s="355"/>
    </row>
    <row r="305" spans="2:16" x14ac:dyDescent="0.25">
      <c r="B305" s="231"/>
      <c r="C305" s="351" t="s">
        <v>887</v>
      </c>
      <c r="D305" s="326">
        <v>3380</v>
      </c>
      <c r="E305" s="352">
        <v>0</v>
      </c>
      <c r="F305" s="326">
        <v>3380</v>
      </c>
      <c r="G305" s="326">
        <f t="shared" si="53"/>
        <v>3380</v>
      </c>
      <c r="H305" s="326">
        <f t="shared" ref="H305:H309" si="58">F305</f>
        <v>3380</v>
      </c>
      <c r="I305" s="353" t="s">
        <v>95</v>
      </c>
      <c r="J305" s="354"/>
      <c r="K305" s="354"/>
      <c r="L305" s="354"/>
      <c r="M305" s="354"/>
      <c r="N305" s="326">
        <v>3380</v>
      </c>
      <c r="O305" s="326">
        <v>3380</v>
      </c>
      <c r="P305" s="355"/>
    </row>
    <row r="306" spans="2:16" x14ac:dyDescent="0.25">
      <c r="B306" s="231"/>
      <c r="C306" s="351" t="s">
        <v>888</v>
      </c>
      <c r="D306" s="326">
        <v>2827</v>
      </c>
      <c r="E306" s="352">
        <v>0</v>
      </c>
      <c r="F306" s="326">
        <v>3204.24</v>
      </c>
      <c r="G306" s="326">
        <f t="shared" si="53"/>
        <v>3204.24</v>
      </c>
      <c r="H306" s="326">
        <f t="shared" si="58"/>
        <v>3204.24</v>
      </c>
      <c r="I306" s="353" t="s">
        <v>95</v>
      </c>
      <c r="J306" s="354"/>
      <c r="K306" s="354"/>
      <c r="L306" s="354"/>
      <c r="M306" s="354"/>
      <c r="N306" s="326">
        <v>3204.24</v>
      </c>
      <c r="O306" s="326">
        <v>3204.24</v>
      </c>
      <c r="P306" s="355"/>
    </row>
    <row r="307" spans="2:16" x14ac:dyDescent="0.25">
      <c r="B307" s="231"/>
      <c r="C307" s="351" t="s">
        <v>889</v>
      </c>
      <c r="D307" s="326">
        <v>450</v>
      </c>
      <c r="E307" s="352">
        <v>0</v>
      </c>
      <c r="F307" s="326">
        <v>450.4</v>
      </c>
      <c r="G307" s="326">
        <f t="shared" si="53"/>
        <v>450.4</v>
      </c>
      <c r="H307" s="326">
        <f t="shared" si="58"/>
        <v>450.4</v>
      </c>
      <c r="I307" s="353" t="s">
        <v>95</v>
      </c>
      <c r="J307" s="354"/>
      <c r="K307" s="354"/>
      <c r="L307" s="354"/>
      <c r="M307" s="354"/>
      <c r="N307" s="326">
        <v>450.4</v>
      </c>
      <c r="O307" s="326">
        <v>450.4</v>
      </c>
      <c r="P307" s="355"/>
    </row>
    <row r="308" spans="2:16" x14ac:dyDescent="0.25">
      <c r="B308" s="231"/>
      <c r="C308" s="351" t="s">
        <v>890</v>
      </c>
      <c r="D308" s="326">
        <v>1484</v>
      </c>
      <c r="E308" s="352">
        <v>0</v>
      </c>
      <c r="F308" s="326">
        <v>1493.15</v>
      </c>
      <c r="G308" s="326">
        <f t="shared" si="53"/>
        <v>1493.15</v>
      </c>
      <c r="H308" s="326">
        <f t="shared" si="58"/>
        <v>1493.15</v>
      </c>
      <c r="I308" s="353" t="s">
        <v>95</v>
      </c>
      <c r="J308" s="354"/>
      <c r="K308" s="354"/>
      <c r="L308" s="354"/>
      <c r="M308" s="354"/>
      <c r="N308" s="326">
        <v>1493.15</v>
      </c>
      <c r="O308" s="326">
        <v>1493.15</v>
      </c>
      <c r="P308" s="355"/>
    </row>
    <row r="309" spans="2:16" x14ac:dyDescent="0.25">
      <c r="B309" s="231"/>
      <c r="C309" s="351" t="s">
        <v>891</v>
      </c>
      <c r="D309" s="326">
        <v>7818</v>
      </c>
      <c r="E309" s="352">
        <v>0</v>
      </c>
      <c r="F309" s="326">
        <v>7094.05</v>
      </c>
      <c r="G309" s="326">
        <f t="shared" si="53"/>
        <v>7094.05</v>
      </c>
      <c r="H309" s="326">
        <f t="shared" si="58"/>
        <v>7094.05</v>
      </c>
      <c r="I309" s="353" t="s">
        <v>95</v>
      </c>
      <c r="J309" s="354"/>
      <c r="K309" s="354"/>
      <c r="L309" s="354"/>
      <c r="M309" s="354"/>
      <c r="N309" s="326">
        <v>7094.05</v>
      </c>
      <c r="O309" s="326">
        <v>7094.05</v>
      </c>
      <c r="P309" s="355"/>
    </row>
    <row r="310" spans="2:16" x14ac:dyDescent="0.25">
      <c r="B310" s="231"/>
      <c r="C310" s="351" t="s">
        <v>892</v>
      </c>
      <c r="D310" s="326">
        <v>3895</v>
      </c>
      <c r="E310" s="352">
        <v>0</v>
      </c>
      <c r="F310" s="326">
        <v>4341.0600000000004</v>
      </c>
      <c r="G310" s="326">
        <f t="shared" si="53"/>
        <v>4341.0600000000004</v>
      </c>
      <c r="H310" s="326">
        <v>4341.0600000000004</v>
      </c>
      <c r="I310" s="353" t="s">
        <v>95</v>
      </c>
      <c r="J310" s="354"/>
      <c r="K310" s="354"/>
      <c r="L310" s="354"/>
      <c r="M310" s="354"/>
      <c r="N310" s="326">
        <v>4341.0600000000004</v>
      </c>
      <c r="O310" s="326">
        <v>4341.0600000000004</v>
      </c>
      <c r="P310" s="355"/>
    </row>
    <row r="311" spans="2:16" ht="27" x14ac:dyDescent="0.25">
      <c r="B311" s="231"/>
      <c r="C311" s="351" t="s">
        <v>893</v>
      </c>
      <c r="D311" s="326">
        <v>5200</v>
      </c>
      <c r="E311" s="352">
        <v>0</v>
      </c>
      <c r="F311" s="326">
        <v>5200</v>
      </c>
      <c r="G311" s="326">
        <f t="shared" si="53"/>
        <v>5200</v>
      </c>
      <c r="H311" s="326">
        <f t="shared" ref="H311:H325" si="59">F311</f>
        <v>5200</v>
      </c>
      <c r="I311" s="353" t="s">
        <v>95</v>
      </c>
      <c r="J311" s="354"/>
      <c r="K311" s="354"/>
      <c r="L311" s="354"/>
      <c r="M311" s="354"/>
      <c r="N311" s="326">
        <v>5200</v>
      </c>
      <c r="O311" s="326">
        <v>5200</v>
      </c>
      <c r="P311" s="355"/>
    </row>
    <row r="312" spans="2:16" x14ac:dyDescent="0.25">
      <c r="B312" s="231"/>
      <c r="C312" s="351" t="s">
        <v>894</v>
      </c>
      <c r="D312" s="326">
        <v>5380</v>
      </c>
      <c r="E312" s="352">
        <v>0</v>
      </c>
      <c r="F312" s="326">
        <v>5395</v>
      </c>
      <c r="G312" s="326">
        <f t="shared" si="53"/>
        <v>5395</v>
      </c>
      <c r="H312" s="326">
        <f t="shared" si="59"/>
        <v>5395</v>
      </c>
      <c r="I312" s="353" t="s">
        <v>95</v>
      </c>
      <c r="J312" s="354"/>
      <c r="K312" s="354"/>
      <c r="L312" s="354"/>
      <c r="M312" s="354"/>
      <c r="N312" s="326">
        <v>5395</v>
      </c>
      <c r="O312" s="326">
        <v>5395</v>
      </c>
      <c r="P312" s="355"/>
    </row>
    <row r="313" spans="2:16" ht="27" x14ac:dyDescent="0.25">
      <c r="B313" s="231"/>
      <c r="C313" s="351" t="s">
        <v>895</v>
      </c>
      <c r="D313" s="326">
        <v>11754</v>
      </c>
      <c r="E313" s="352">
        <v>0</v>
      </c>
      <c r="F313" s="326">
        <v>11811.7</v>
      </c>
      <c r="G313" s="326">
        <f t="shared" si="53"/>
        <v>11811.7</v>
      </c>
      <c r="H313" s="326">
        <f t="shared" si="59"/>
        <v>11811.7</v>
      </c>
      <c r="I313" s="353" t="s">
        <v>95</v>
      </c>
      <c r="J313" s="354"/>
      <c r="K313" s="354"/>
      <c r="L313" s="354"/>
      <c r="M313" s="354"/>
      <c r="N313" s="326">
        <v>11811.7</v>
      </c>
      <c r="O313" s="326">
        <v>11811.7</v>
      </c>
      <c r="P313" s="355"/>
    </row>
    <row r="314" spans="2:16" x14ac:dyDescent="0.25">
      <c r="B314" s="231"/>
      <c r="C314" s="351" t="s">
        <v>896</v>
      </c>
      <c r="D314" s="326">
        <v>804</v>
      </c>
      <c r="E314" s="352">
        <v>0</v>
      </c>
      <c r="F314" s="326">
        <v>806</v>
      </c>
      <c r="G314" s="326">
        <f t="shared" si="53"/>
        <v>806</v>
      </c>
      <c r="H314" s="326">
        <f t="shared" si="59"/>
        <v>806</v>
      </c>
      <c r="I314" s="353" t="s">
        <v>95</v>
      </c>
      <c r="J314" s="354"/>
      <c r="K314" s="354"/>
      <c r="L314" s="354"/>
      <c r="M314" s="354"/>
      <c r="N314" s="326">
        <v>806</v>
      </c>
      <c r="O314" s="326">
        <v>806</v>
      </c>
      <c r="P314" s="355"/>
    </row>
    <row r="315" spans="2:16" x14ac:dyDescent="0.25">
      <c r="B315" s="231"/>
      <c r="C315" s="351" t="s">
        <v>897</v>
      </c>
      <c r="D315" s="326">
        <v>563</v>
      </c>
      <c r="E315" s="352">
        <v>0</v>
      </c>
      <c r="F315" s="326">
        <v>564.29999999999995</v>
      </c>
      <c r="G315" s="326">
        <f t="shared" si="53"/>
        <v>564.29999999999995</v>
      </c>
      <c r="H315" s="326">
        <f t="shared" si="59"/>
        <v>564.29999999999995</v>
      </c>
      <c r="I315" s="353" t="s">
        <v>95</v>
      </c>
      <c r="J315" s="354"/>
      <c r="K315" s="354"/>
      <c r="L315" s="354"/>
      <c r="M315" s="354"/>
      <c r="N315" s="326">
        <v>564.29999999999995</v>
      </c>
      <c r="O315" s="326">
        <v>564.29999999999995</v>
      </c>
      <c r="P315" s="355"/>
    </row>
    <row r="316" spans="2:16" ht="27" x14ac:dyDescent="0.25">
      <c r="B316" s="231"/>
      <c r="C316" s="351" t="s">
        <v>898</v>
      </c>
      <c r="D316" s="326">
        <v>1124</v>
      </c>
      <c r="E316" s="352">
        <v>0</v>
      </c>
      <c r="F316" s="326">
        <v>1038.68</v>
      </c>
      <c r="G316" s="326">
        <f t="shared" si="53"/>
        <v>1038.68</v>
      </c>
      <c r="H316" s="326">
        <f t="shared" si="59"/>
        <v>1038.68</v>
      </c>
      <c r="I316" s="353" t="s">
        <v>95</v>
      </c>
      <c r="J316" s="354"/>
      <c r="K316" s="354"/>
      <c r="L316" s="354"/>
      <c r="M316" s="354"/>
      <c r="N316" s="326">
        <v>1038.68</v>
      </c>
      <c r="O316" s="326">
        <v>1038.68</v>
      </c>
      <c r="P316" s="355"/>
    </row>
    <row r="317" spans="2:16" x14ac:dyDescent="0.25">
      <c r="B317" s="231"/>
      <c r="C317" s="351" t="s">
        <v>899</v>
      </c>
      <c r="D317" s="326">
        <v>876</v>
      </c>
      <c r="E317" s="352">
        <v>0</v>
      </c>
      <c r="F317" s="326">
        <v>860.24</v>
      </c>
      <c r="G317" s="326">
        <f t="shared" si="53"/>
        <v>860.24</v>
      </c>
      <c r="H317" s="326">
        <f t="shared" si="59"/>
        <v>860.24</v>
      </c>
      <c r="I317" s="353" t="s">
        <v>95</v>
      </c>
      <c r="J317" s="354"/>
      <c r="K317" s="354"/>
      <c r="L317" s="354"/>
      <c r="M317" s="354"/>
      <c r="N317" s="326">
        <v>860.24</v>
      </c>
      <c r="O317" s="326">
        <v>860.24</v>
      </c>
      <c r="P317" s="355"/>
    </row>
    <row r="318" spans="2:16" x14ac:dyDescent="0.25">
      <c r="B318" s="231"/>
      <c r="C318" s="351" t="s">
        <v>900</v>
      </c>
      <c r="D318" s="326">
        <v>8728</v>
      </c>
      <c r="E318" s="352">
        <v>0</v>
      </c>
      <c r="F318" s="326">
        <v>8011.55</v>
      </c>
      <c r="G318" s="326">
        <f t="shared" si="53"/>
        <v>8011.55</v>
      </c>
      <c r="H318" s="326">
        <f t="shared" si="59"/>
        <v>8011.55</v>
      </c>
      <c r="I318" s="353" t="s">
        <v>95</v>
      </c>
      <c r="J318" s="354"/>
      <c r="K318" s="354"/>
      <c r="L318" s="354"/>
      <c r="M318" s="354"/>
      <c r="N318" s="326">
        <v>8011.55</v>
      </c>
      <c r="O318" s="326">
        <v>8011.55</v>
      </c>
      <c r="P318" s="355"/>
    </row>
    <row r="319" spans="2:16" x14ac:dyDescent="0.25">
      <c r="B319" s="231"/>
      <c r="C319" s="351" t="s">
        <v>901</v>
      </c>
      <c r="D319" s="326">
        <v>520</v>
      </c>
      <c r="E319" s="352">
        <v>0</v>
      </c>
      <c r="F319" s="326">
        <v>521.29999999999995</v>
      </c>
      <c r="G319" s="326">
        <f t="shared" si="53"/>
        <v>521.29999999999995</v>
      </c>
      <c r="H319" s="326">
        <f t="shared" si="59"/>
        <v>521.29999999999995</v>
      </c>
      <c r="I319" s="353" t="s">
        <v>95</v>
      </c>
      <c r="J319" s="354"/>
      <c r="K319" s="354"/>
      <c r="L319" s="354"/>
      <c r="M319" s="354"/>
      <c r="N319" s="326">
        <v>521.29999999999995</v>
      </c>
      <c r="O319" s="326">
        <v>521.29999999999995</v>
      </c>
      <c r="P319" s="355"/>
    </row>
    <row r="320" spans="2:16" ht="15.75" customHeight="1" x14ac:dyDescent="0.25">
      <c r="B320" s="231"/>
      <c r="C320" s="351" t="s">
        <v>902</v>
      </c>
      <c r="D320" s="326">
        <v>535</v>
      </c>
      <c r="E320" s="352">
        <v>0</v>
      </c>
      <c r="F320" s="326">
        <v>535.82000000000005</v>
      </c>
      <c r="G320" s="326">
        <f t="shared" si="53"/>
        <v>535.82000000000005</v>
      </c>
      <c r="H320" s="326">
        <f t="shared" si="59"/>
        <v>535.82000000000005</v>
      </c>
      <c r="I320" s="353" t="s">
        <v>95</v>
      </c>
      <c r="J320" s="354"/>
      <c r="K320" s="354"/>
      <c r="L320" s="354"/>
      <c r="M320" s="354"/>
      <c r="N320" s="326">
        <v>535.82000000000005</v>
      </c>
      <c r="O320" s="326">
        <v>535.82000000000005</v>
      </c>
      <c r="P320" s="355"/>
    </row>
    <row r="321" spans="2:19" ht="15.75" customHeight="1" x14ac:dyDescent="0.25">
      <c r="B321" s="231"/>
      <c r="C321" s="351" t="s">
        <v>903</v>
      </c>
      <c r="D321" s="326">
        <v>1505</v>
      </c>
      <c r="E321" s="352">
        <v>0</v>
      </c>
      <c r="F321" s="326">
        <v>1509.2</v>
      </c>
      <c r="G321" s="326">
        <f t="shared" si="53"/>
        <v>1509.2</v>
      </c>
      <c r="H321" s="326">
        <f t="shared" si="59"/>
        <v>1509.2</v>
      </c>
      <c r="I321" s="353" t="s">
        <v>95</v>
      </c>
      <c r="J321" s="354"/>
      <c r="K321" s="354"/>
      <c r="L321" s="354"/>
      <c r="M321" s="354"/>
      <c r="N321" s="326">
        <v>1509.2</v>
      </c>
      <c r="O321" s="326">
        <v>1509.2</v>
      </c>
      <c r="P321" s="355"/>
    </row>
    <row r="322" spans="2:19" ht="27" customHeight="1" x14ac:dyDescent="0.25">
      <c r="B322" s="231"/>
      <c r="C322" s="351" t="s">
        <v>904</v>
      </c>
      <c r="D322" s="326">
        <v>225</v>
      </c>
      <c r="E322" s="352">
        <v>0</v>
      </c>
      <c r="F322" s="326">
        <v>500</v>
      </c>
      <c r="G322" s="326">
        <f t="shared" si="53"/>
        <v>500</v>
      </c>
      <c r="H322" s="326">
        <f t="shared" si="59"/>
        <v>500</v>
      </c>
      <c r="I322" s="353" t="s">
        <v>95</v>
      </c>
      <c r="J322" s="354"/>
      <c r="K322" s="354"/>
      <c r="L322" s="354"/>
      <c r="M322" s="354"/>
      <c r="N322" s="326">
        <v>500</v>
      </c>
      <c r="O322" s="326">
        <v>500</v>
      </c>
      <c r="P322" s="355"/>
    </row>
    <row r="323" spans="2:19" x14ac:dyDescent="0.25">
      <c r="B323" s="231"/>
      <c r="C323" s="351" t="s">
        <v>905</v>
      </c>
      <c r="D323" s="326">
        <v>2992</v>
      </c>
      <c r="E323" s="352">
        <v>0</v>
      </c>
      <c r="F323" s="326">
        <v>3000</v>
      </c>
      <c r="G323" s="326">
        <f t="shared" si="53"/>
        <v>3000</v>
      </c>
      <c r="H323" s="326">
        <f t="shared" si="59"/>
        <v>3000</v>
      </c>
      <c r="I323" s="353" t="s">
        <v>95</v>
      </c>
      <c r="J323" s="354"/>
      <c r="K323" s="354"/>
      <c r="L323" s="354"/>
      <c r="M323" s="354"/>
      <c r="N323" s="326">
        <v>3000</v>
      </c>
      <c r="O323" s="326">
        <v>3000</v>
      </c>
      <c r="P323" s="355"/>
    </row>
    <row r="324" spans="2:19" x14ac:dyDescent="0.25">
      <c r="B324" s="231"/>
      <c r="C324" s="351" t="s">
        <v>906</v>
      </c>
      <c r="D324" s="326">
        <v>928</v>
      </c>
      <c r="E324" s="352">
        <v>0</v>
      </c>
      <c r="F324" s="326">
        <v>768</v>
      </c>
      <c r="G324" s="326">
        <f t="shared" si="53"/>
        <v>768</v>
      </c>
      <c r="H324" s="326">
        <f t="shared" si="59"/>
        <v>768</v>
      </c>
      <c r="I324" s="353" t="s">
        <v>95</v>
      </c>
      <c r="J324" s="354"/>
      <c r="K324" s="354"/>
      <c r="L324" s="354"/>
      <c r="M324" s="354"/>
      <c r="N324" s="326">
        <v>768</v>
      </c>
      <c r="O324" s="326">
        <v>768</v>
      </c>
      <c r="P324" s="355"/>
    </row>
    <row r="325" spans="2:19" x14ac:dyDescent="0.25">
      <c r="B325" s="231"/>
      <c r="C325" s="351" t="s">
        <v>907</v>
      </c>
      <c r="D325" s="326">
        <v>154</v>
      </c>
      <c r="E325" s="352">
        <v>0</v>
      </c>
      <c r="F325" s="326">
        <v>154.91999999999999</v>
      </c>
      <c r="G325" s="326">
        <f t="shared" si="53"/>
        <v>154.91999999999999</v>
      </c>
      <c r="H325" s="326">
        <f t="shared" si="59"/>
        <v>154.91999999999999</v>
      </c>
      <c r="I325" s="353" t="s">
        <v>95</v>
      </c>
      <c r="J325" s="354"/>
      <c r="K325" s="354"/>
      <c r="L325" s="354"/>
      <c r="M325" s="354"/>
      <c r="N325" s="326">
        <v>154.91999999999999</v>
      </c>
      <c r="O325" s="326">
        <v>154.91999999999999</v>
      </c>
      <c r="P325" s="355"/>
    </row>
    <row r="326" spans="2:19" ht="16.5" x14ac:dyDescent="0.3">
      <c r="B326" s="231"/>
      <c r="C326" s="325" t="s">
        <v>908</v>
      </c>
      <c r="D326" s="326"/>
      <c r="E326" s="356">
        <f>SUM(E299:E325)</f>
        <v>196</v>
      </c>
      <c r="F326" s="356">
        <f>SUM(F299:F325)</f>
        <v>91235.010000000009</v>
      </c>
      <c r="G326" s="357"/>
      <c r="H326" s="356">
        <f>SUM(H299:H325)</f>
        <v>91235.010000000009</v>
      </c>
      <c r="I326" s="212">
        <f>SUM(I299:I325)</f>
        <v>0</v>
      </c>
      <c r="J326" s="40"/>
      <c r="K326" s="40"/>
      <c r="L326" s="40"/>
      <c r="M326" s="40"/>
      <c r="N326" s="356">
        <f>SUM(N299:N325)</f>
        <v>91235.010000000009</v>
      </c>
      <c r="O326" s="356">
        <f>SUM(O299:O325)</f>
        <v>91235.010000000009</v>
      </c>
      <c r="P326" s="358"/>
    </row>
    <row r="327" spans="2:19" ht="18.600000000000001" customHeight="1" x14ac:dyDescent="0.3">
      <c r="B327" s="231"/>
      <c r="C327" s="200" t="s">
        <v>909</v>
      </c>
      <c r="D327" s="359"/>
      <c r="E327" s="360"/>
      <c r="F327" s="359"/>
      <c r="G327" s="359"/>
      <c r="H327" s="361">
        <f>SUM(H328:H333)</f>
        <v>101232.75</v>
      </c>
      <c r="I327" s="19" t="s">
        <v>95</v>
      </c>
      <c r="N327" s="361">
        <f>SUM(N328:N333)</f>
        <v>75531.679999999993</v>
      </c>
      <c r="O327" s="361">
        <f>SUM(O328:O333)</f>
        <v>95531.68</v>
      </c>
      <c r="P327" s="203"/>
    </row>
    <row r="328" spans="2:19" ht="18.600000000000001" customHeight="1" x14ac:dyDescent="0.25">
      <c r="B328" s="231"/>
      <c r="C328" s="340" t="s">
        <v>910</v>
      </c>
      <c r="D328" s="211"/>
      <c r="E328" s="362"/>
      <c r="F328" s="211"/>
      <c r="G328" s="211"/>
      <c r="H328" s="211">
        <f>'[1]previsione SMS 22-23-24'!B13</f>
        <v>31684.26</v>
      </c>
      <c r="I328" s="19" t="s">
        <v>95</v>
      </c>
      <c r="N328" s="211">
        <f>'[1]previsione SMS 22-23-24'!E13</f>
        <v>0</v>
      </c>
      <c r="O328" s="211">
        <f>'[1]previsione SMS 22-23-24'!H13</f>
        <v>0</v>
      </c>
      <c r="P328" s="363"/>
    </row>
    <row r="329" spans="2:19" ht="18.600000000000001" customHeight="1" x14ac:dyDescent="0.25">
      <c r="B329" s="231"/>
      <c r="C329" s="340" t="s">
        <v>911</v>
      </c>
      <c r="D329" s="211"/>
      <c r="E329" s="362"/>
      <c r="F329" s="211"/>
      <c r="G329" s="211"/>
      <c r="H329" s="211">
        <f>'[1]previsione SMS 22-23-24'!B14</f>
        <v>31016.81</v>
      </c>
      <c r="I329" s="19" t="s">
        <v>95</v>
      </c>
      <c r="N329" s="211">
        <f>'[1]previsione SMS 22-23-24'!E14</f>
        <v>0</v>
      </c>
      <c r="O329" s="211">
        <f>'[1]previsione SMS 22-23-24'!H14</f>
        <v>0</v>
      </c>
      <c r="P329" s="363"/>
    </row>
    <row r="330" spans="2:19" ht="18.600000000000001" customHeight="1" x14ac:dyDescent="0.25">
      <c r="B330" s="231"/>
      <c r="C330" s="340" t="s">
        <v>912</v>
      </c>
      <c r="D330" s="211"/>
      <c r="E330" s="362"/>
      <c r="F330" s="211"/>
      <c r="G330" s="211"/>
      <c r="H330" s="211">
        <f>'[1]previsione SMS 22-23-24'!B15</f>
        <v>5000</v>
      </c>
      <c r="I330" s="19" t="s">
        <v>95</v>
      </c>
      <c r="N330" s="211">
        <f>'[1]previsione SMS 22-23-24'!E15</f>
        <v>30000</v>
      </c>
      <c r="O330" s="211">
        <f>'[1]previsione SMS 22-23-24'!H15</f>
        <v>40000</v>
      </c>
      <c r="P330" s="363"/>
    </row>
    <row r="331" spans="2:19" ht="18.600000000000001" customHeight="1" x14ac:dyDescent="0.25">
      <c r="B331" s="231"/>
      <c r="C331" s="340" t="s">
        <v>913</v>
      </c>
      <c r="D331" s="211"/>
      <c r="E331" s="362"/>
      <c r="F331" s="211"/>
      <c r="G331" s="211"/>
      <c r="H331" s="211">
        <f>'[1]previsione SMS 22-23-24'!B16</f>
        <v>28000</v>
      </c>
      <c r="I331" s="19" t="s">
        <v>95</v>
      </c>
      <c r="N331" s="211">
        <f>'[1]previsione SMS 22-23-24'!E16</f>
        <v>40000</v>
      </c>
      <c r="O331" s="211">
        <f>'[1]previsione SMS 22-23-24'!H16</f>
        <v>50000</v>
      </c>
      <c r="P331" s="363"/>
    </row>
    <row r="332" spans="2:19" ht="18.600000000000001" customHeight="1" x14ac:dyDescent="0.25">
      <c r="B332" s="231"/>
      <c r="C332" s="340" t="s">
        <v>914</v>
      </c>
      <c r="D332" s="211"/>
      <c r="E332" s="362"/>
      <c r="F332" s="211"/>
      <c r="G332" s="211"/>
      <c r="H332" s="211">
        <f>'[1]previsione SMS 22-23-24'!B17</f>
        <v>5031.68</v>
      </c>
      <c r="I332" s="19" t="s">
        <v>95</v>
      </c>
      <c r="N332" s="211">
        <f>'[1]previsione SMS 22-23-24'!E17</f>
        <v>5031.68</v>
      </c>
      <c r="O332" s="211">
        <f>'[1]previsione SMS 22-23-24'!H17</f>
        <v>5031.68</v>
      </c>
      <c r="P332" s="363"/>
    </row>
    <row r="333" spans="2:19" ht="27" x14ac:dyDescent="0.25">
      <c r="B333" s="231"/>
      <c r="C333" s="340" t="s">
        <v>915</v>
      </c>
      <c r="D333" s="211"/>
      <c r="E333" s="362"/>
      <c r="F333" s="211"/>
      <c r="G333" s="211"/>
      <c r="H333" s="211">
        <f>'[1]previsione SMS 22-23-24'!B18</f>
        <v>500</v>
      </c>
      <c r="I333" s="19" t="s">
        <v>95</v>
      </c>
      <c r="N333" s="211">
        <f>'[1]previsione SMS 22-23-24'!E18</f>
        <v>500</v>
      </c>
      <c r="O333" s="211">
        <f>'[1]previsione SMS 22-23-24'!H18</f>
        <v>500</v>
      </c>
      <c r="P333" s="363"/>
    </row>
    <row r="334" spans="2:19" ht="18.75" x14ac:dyDescent="0.3">
      <c r="B334" s="231">
        <f>B248+1</f>
        <v>144</v>
      </c>
      <c r="C334" s="24" t="s">
        <v>201</v>
      </c>
      <c r="D334" s="17">
        <v>86763.62</v>
      </c>
      <c r="E334" s="235">
        <f>E335+E343</f>
        <v>81861</v>
      </c>
      <c r="F334" s="17">
        <f>F335+F343</f>
        <v>85347.87</v>
      </c>
      <c r="G334" s="17">
        <f>F334-E334</f>
        <v>3486.8699999999953</v>
      </c>
      <c r="H334" s="17">
        <f>H335+H343+H353</f>
        <v>137937.85</v>
      </c>
      <c r="I334" s="19" t="s">
        <v>95</v>
      </c>
      <c r="N334" s="17">
        <f>N335+N343+N353</f>
        <v>212610.57</v>
      </c>
      <c r="O334" s="17">
        <f>O335+O343+O353</f>
        <v>131937.85</v>
      </c>
      <c r="P334" s="236"/>
    </row>
    <row r="335" spans="2:19" ht="16.5" x14ac:dyDescent="0.3">
      <c r="B335" s="231">
        <f>B284+1</f>
        <v>141</v>
      </c>
      <c r="C335" s="25" t="s">
        <v>202</v>
      </c>
      <c r="D335" s="26">
        <v>8153.6</v>
      </c>
      <c r="E335" s="237">
        <f>SUM(E336:E336)</f>
        <v>7746</v>
      </c>
      <c r="F335" s="26">
        <f>SUM(F336:F336)</f>
        <v>8361.65</v>
      </c>
      <c r="G335" s="26">
        <f>F335-E335</f>
        <v>615.64999999999964</v>
      </c>
      <c r="H335" s="26">
        <f>SUM(H336:M342)</f>
        <v>51542.130000000005</v>
      </c>
      <c r="I335" s="26">
        <f t="shared" ref="I335:M335" si="60">SUM(I336:N342)</f>
        <v>45542.130000000005</v>
      </c>
      <c r="J335" s="26">
        <f t="shared" si="60"/>
        <v>91084.26</v>
      </c>
      <c r="K335" s="26">
        <f t="shared" si="60"/>
        <v>91084.26</v>
      </c>
      <c r="L335" s="26">
        <f t="shared" si="60"/>
        <v>91084.26</v>
      </c>
      <c r="M335" s="26">
        <f t="shared" si="60"/>
        <v>135857.26</v>
      </c>
      <c r="N335" s="26">
        <f>SUM(N336:N342)</f>
        <v>45542.130000000005</v>
      </c>
      <c r="O335" s="26">
        <f>SUM(O336:O342)</f>
        <v>45542.130000000005</v>
      </c>
      <c r="P335" s="238"/>
    </row>
    <row r="336" spans="2:19" x14ac:dyDescent="0.25">
      <c r="B336" s="231">
        <f>B286+1</f>
        <v>142</v>
      </c>
      <c r="C336" s="53" t="s">
        <v>203</v>
      </c>
      <c r="D336" s="52">
        <v>8153.6</v>
      </c>
      <c r="E336" s="239">
        <v>7746</v>
      </c>
      <c r="F336" s="52">
        <v>8361.65</v>
      </c>
      <c r="G336" s="52">
        <f>F336-E336</f>
        <v>615.64999999999964</v>
      </c>
      <c r="H336" s="52">
        <f>F336</f>
        <v>8361.65</v>
      </c>
      <c r="I336" s="19" t="s">
        <v>95</v>
      </c>
      <c r="N336" s="52">
        <f>F336</f>
        <v>8361.65</v>
      </c>
      <c r="O336" s="52">
        <f>F336</f>
        <v>8361.65</v>
      </c>
      <c r="P336" s="240"/>
      <c r="Q336" t="s">
        <v>815</v>
      </c>
      <c r="R336" s="258">
        <v>44773</v>
      </c>
      <c r="S336" s="254">
        <f>2038.4*4+208.05*2</f>
        <v>8569.7000000000007</v>
      </c>
    </row>
    <row r="337" spans="2:19" ht="40.5" x14ac:dyDescent="0.25">
      <c r="B337" s="231"/>
      <c r="C337" s="226" t="s">
        <v>916</v>
      </c>
      <c r="D337" s="52"/>
      <c r="E337" s="239"/>
      <c r="F337" s="52"/>
      <c r="G337" s="52">
        <f t="shared" ref="G337:G338" si="61">F337-E337</f>
        <v>0</v>
      </c>
      <c r="H337" s="228">
        <f>10*1000</f>
        <v>10000</v>
      </c>
      <c r="I337" s="19" t="s">
        <v>95</v>
      </c>
      <c r="N337" s="228">
        <f>10*1000</f>
        <v>10000</v>
      </c>
      <c r="O337" s="228">
        <f>10*1000</f>
        <v>10000</v>
      </c>
      <c r="P337" s="229"/>
      <c r="R337" s="258"/>
      <c r="S337" s="254"/>
    </row>
    <row r="338" spans="2:19" x14ac:dyDescent="0.25">
      <c r="B338" s="231"/>
      <c r="C338" s="226" t="s">
        <v>917</v>
      </c>
      <c r="D338" s="52"/>
      <c r="E338" s="239"/>
      <c r="F338" s="52"/>
      <c r="G338" s="52">
        <f t="shared" si="61"/>
        <v>0</v>
      </c>
      <c r="H338" s="228">
        <v>15000</v>
      </c>
      <c r="I338" s="19"/>
      <c r="N338" s="228">
        <v>15000</v>
      </c>
      <c r="O338" s="228">
        <v>15000</v>
      </c>
      <c r="P338" s="229"/>
      <c r="R338" s="258"/>
      <c r="S338" s="254"/>
    </row>
    <row r="339" spans="2:19" ht="27" x14ac:dyDescent="0.25">
      <c r="B339" s="231"/>
      <c r="C339" s="226" t="s">
        <v>918</v>
      </c>
      <c r="D339" s="52"/>
      <c r="E339" s="239"/>
      <c r="F339" s="52"/>
      <c r="G339" s="52"/>
      <c r="H339" s="228">
        <f>3588.48</f>
        <v>3588.48</v>
      </c>
      <c r="I339" s="19"/>
      <c r="N339" s="228">
        <f>3588.48</f>
        <v>3588.48</v>
      </c>
      <c r="O339" s="228">
        <f>3588.48</f>
        <v>3588.48</v>
      </c>
      <c r="P339" s="229"/>
      <c r="R339" s="258"/>
      <c r="S339" s="254"/>
    </row>
    <row r="340" spans="2:19" ht="27" x14ac:dyDescent="0.25">
      <c r="B340" s="231"/>
      <c r="C340" s="226" t="s">
        <v>919</v>
      </c>
      <c r="D340" s="52"/>
      <c r="E340" s="239"/>
      <c r="F340" s="52"/>
      <c r="G340" s="52"/>
      <c r="H340" s="228">
        <f>1235</f>
        <v>1235</v>
      </c>
      <c r="I340" s="19"/>
      <c r="N340" s="228">
        <f>1235</f>
        <v>1235</v>
      </c>
      <c r="O340" s="228">
        <f>1235</f>
        <v>1235</v>
      </c>
      <c r="P340" s="229"/>
      <c r="R340" s="258"/>
      <c r="S340" s="254"/>
    </row>
    <row r="341" spans="2:19" ht="27" x14ac:dyDescent="0.25">
      <c r="B341" s="231"/>
      <c r="C341" s="226" t="s">
        <v>920</v>
      </c>
      <c r="D341" s="52"/>
      <c r="E341" s="239"/>
      <c r="F341" s="52"/>
      <c r="G341" s="52"/>
      <c r="H341" s="228">
        <v>3357</v>
      </c>
      <c r="I341" s="19"/>
      <c r="N341" s="228">
        <v>3357</v>
      </c>
      <c r="O341" s="228">
        <v>3357</v>
      </c>
      <c r="P341" s="229"/>
      <c r="R341" s="258"/>
      <c r="S341" s="254"/>
    </row>
    <row r="342" spans="2:19" x14ac:dyDescent="0.25">
      <c r="B342" s="231"/>
      <c r="C342" s="255" t="s">
        <v>921</v>
      </c>
      <c r="D342" s="256"/>
      <c r="E342" s="364"/>
      <c r="F342" s="256"/>
      <c r="G342" s="256"/>
      <c r="H342" s="365">
        <v>10000</v>
      </c>
      <c r="I342" s="299"/>
      <c r="J342" s="299"/>
      <c r="K342" s="299"/>
      <c r="L342" s="299"/>
      <c r="M342" s="299"/>
      <c r="N342" s="365">
        <v>4000</v>
      </c>
      <c r="O342" s="365">
        <v>4000</v>
      </c>
      <c r="P342" s="229"/>
      <c r="R342" s="258"/>
      <c r="S342" s="254"/>
    </row>
    <row r="343" spans="2:19" ht="16.5" x14ac:dyDescent="0.3">
      <c r="B343" s="231">
        <f>B336+1</f>
        <v>143</v>
      </c>
      <c r="C343" s="30" t="s">
        <v>204</v>
      </c>
      <c r="D343" s="31">
        <v>78610.01999999999</v>
      </c>
      <c r="E343" s="366">
        <f>SUM(E344:E351)</f>
        <v>74115</v>
      </c>
      <c r="F343" s="31">
        <f>SUM(F344:F351)</f>
        <v>76986.22</v>
      </c>
      <c r="G343" s="31">
        <f>F343-E343</f>
        <v>2871.2200000000012</v>
      </c>
      <c r="H343" s="366">
        <f>SUM(H344:M352)</f>
        <v>80672.72</v>
      </c>
      <c r="I343" s="19" t="s">
        <v>95</v>
      </c>
      <c r="N343" s="366">
        <f>SUM(N344:U352)</f>
        <v>161345.44</v>
      </c>
      <c r="O343" s="366">
        <f>SUM(O344:V352)</f>
        <v>80672.72</v>
      </c>
      <c r="P343" s="367"/>
    </row>
    <row r="344" spans="2:19" x14ac:dyDescent="0.25">
      <c r="B344" s="231">
        <f t="shared" ref="B344:B372" si="62">B343+1</f>
        <v>144</v>
      </c>
      <c r="C344" s="53" t="s">
        <v>205</v>
      </c>
      <c r="D344" s="52">
        <v>50040</v>
      </c>
      <c r="E344" s="239">
        <v>50040</v>
      </c>
      <c r="F344" s="52">
        <v>50040</v>
      </c>
      <c r="G344" s="52">
        <f>F344-E344</f>
        <v>0</v>
      </c>
      <c r="H344" s="239">
        <f t="shared" ref="H344:H349" si="63">F344</f>
        <v>50040</v>
      </c>
      <c r="I344" s="19" t="s">
        <v>95</v>
      </c>
      <c r="N344" s="239">
        <v>50040</v>
      </c>
      <c r="O344" s="239">
        <v>50040</v>
      </c>
      <c r="P344" s="368"/>
    </row>
    <row r="345" spans="2:19" x14ac:dyDescent="0.25">
      <c r="B345" s="231">
        <f t="shared" si="62"/>
        <v>145</v>
      </c>
      <c r="C345" s="53" t="s">
        <v>206</v>
      </c>
      <c r="D345" s="52">
        <v>13640.400000000001</v>
      </c>
      <c r="E345" s="239">
        <v>10112</v>
      </c>
      <c r="F345" s="52">
        <v>13701.4</v>
      </c>
      <c r="G345" s="52">
        <f t="shared" ref="G345:G351" si="64">F345-E345</f>
        <v>3589.3999999999996</v>
      </c>
      <c r="H345" s="52">
        <f t="shared" si="63"/>
        <v>13701.4</v>
      </c>
      <c r="I345" s="19" t="s">
        <v>95</v>
      </c>
      <c r="N345" s="52">
        <v>13701.4</v>
      </c>
      <c r="O345" s="52">
        <v>13701.4</v>
      </c>
      <c r="P345" s="240"/>
    </row>
    <row r="346" spans="2:19" ht="27" x14ac:dyDescent="0.25">
      <c r="B346" s="231">
        <f t="shared" si="62"/>
        <v>146</v>
      </c>
      <c r="C346" s="53" t="s">
        <v>207</v>
      </c>
      <c r="D346" s="52">
        <v>0</v>
      </c>
      <c r="E346" s="239">
        <v>6240</v>
      </c>
      <c r="F346" s="52">
        <v>0</v>
      </c>
      <c r="G346" s="52">
        <f t="shared" si="64"/>
        <v>-6240</v>
      </c>
      <c r="H346" s="52">
        <f t="shared" si="63"/>
        <v>0</v>
      </c>
      <c r="I346" s="19" t="s">
        <v>95</v>
      </c>
      <c r="N346" s="52">
        <v>0</v>
      </c>
      <c r="O346" s="52">
        <v>0</v>
      </c>
      <c r="P346" s="240"/>
    </row>
    <row r="347" spans="2:19" x14ac:dyDescent="0.25">
      <c r="B347" s="231">
        <f t="shared" si="62"/>
        <v>147</v>
      </c>
      <c r="C347" s="53" t="s">
        <v>208</v>
      </c>
      <c r="D347" s="52">
        <v>7472</v>
      </c>
      <c r="E347" s="239">
        <v>6194</v>
      </c>
      <c r="F347" s="52">
        <v>7472</v>
      </c>
      <c r="G347" s="52">
        <f t="shared" si="64"/>
        <v>1278</v>
      </c>
      <c r="H347" s="52">
        <f t="shared" si="63"/>
        <v>7472</v>
      </c>
      <c r="I347" s="19" t="s">
        <v>95</v>
      </c>
      <c r="N347" s="52">
        <v>7472</v>
      </c>
      <c r="O347" s="52">
        <v>7472</v>
      </c>
      <c r="P347" s="240"/>
    </row>
    <row r="348" spans="2:19" x14ac:dyDescent="0.25">
      <c r="B348" s="231">
        <f>B347+1</f>
        <v>148</v>
      </c>
      <c r="C348" s="53" t="s">
        <v>209</v>
      </c>
      <c r="D348" s="52">
        <v>1266</v>
      </c>
      <c r="E348" s="239">
        <v>1529</v>
      </c>
      <c r="F348" s="52">
        <v>4428</v>
      </c>
      <c r="G348" s="52">
        <f t="shared" si="64"/>
        <v>2899</v>
      </c>
      <c r="H348" s="52">
        <f t="shared" si="63"/>
        <v>4428</v>
      </c>
      <c r="I348" s="19" t="s">
        <v>95</v>
      </c>
      <c r="N348" s="52">
        <v>4428</v>
      </c>
      <c r="O348" s="52">
        <v>4428</v>
      </c>
      <c r="P348" s="240"/>
    </row>
    <row r="349" spans="2:19" x14ac:dyDescent="0.25">
      <c r="B349" s="231"/>
      <c r="C349" s="196" t="s">
        <v>922</v>
      </c>
      <c r="D349" s="52">
        <v>4391.619999999999</v>
      </c>
      <c r="E349" s="239"/>
      <c r="F349" s="52">
        <v>1044</v>
      </c>
      <c r="G349" s="52">
        <f t="shared" si="64"/>
        <v>1044</v>
      </c>
      <c r="H349" s="52">
        <f t="shared" si="63"/>
        <v>1044</v>
      </c>
      <c r="I349" s="19" t="s">
        <v>95</v>
      </c>
      <c r="N349" s="52">
        <v>1044</v>
      </c>
      <c r="O349" s="52">
        <v>1044</v>
      </c>
      <c r="P349" s="240"/>
    </row>
    <row r="350" spans="2:19" x14ac:dyDescent="0.25">
      <c r="B350" s="231">
        <f>B348+1</f>
        <v>149</v>
      </c>
      <c r="C350" s="47" t="s">
        <v>923</v>
      </c>
      <c r="D350" s="37">
        <v>1800</v>
      </c>
      <c r="E350" s="198"/>
      <c r="F350" s="197">
        <v>300.82</v>
      </c>
      <c r="G350" s="52">
        <f t="shared" si="64"/>
        <v>300.82</v>
      </c>
      <c r="H350" s="34">
        <f>'[1]70,05,707 AFFITTO POSTI FONTEB.'!P1</f>
        <v>1800</v>
      </c>
      <c r="I350" s="369"/>
      <c r="N350" s="34">
        <v>1800</v>
      </c>
      <c r="O350" s="34">
        <v>1800</v>
      </c>
      <c r="P350" s="370"/>
    </row>
    <row r="351" spans="2:19" ht="27" x14ac:dyDescent="0.25">
      <c r="B351" s="231"/>
      <c r="C351" s="371" t="s">
        <v>924</v>
      </c>
      <c r="D351" s="34"/>
      <c r="E351" s="227"/>
      <c r="F351" s="218"/>
      <c r="G351" s="52">
        <f t="shared" si="64"/>
        <v>0</v>
      </c>
      <c r="H351" s="34">
        <v>1522.32</v>
      </c>
      <c r="I351" s="39"/>
      <c r="N351" s="34">
        <v>1522.32</v>
      </c>
      <c r="O351" s="34">
        <v>1522.32</v>
      </c>
      <c r="P351" s="370"/>
    </row>
    <row r="352" spans="2:19" ht="27" x14ac:dyDescent="0.25">
      <c r="B352" s="231"/>
      <c r="C352" s="371" t="s">
        <v>925</v>
      </c>
      <c r="D352" s="34"/>
      <c r="E352" s="227"/>
      <c r="F352" s="218"/>
      <c r="G352" s="52"/>
      <c r="H352" s="34">
        <v>665</v>
      </c>
      <c r="I352" s="39"/>
      <c r="N352" s="34">
        <v>665</v>
      </c>
      <c r="O352" s="34">
        <v>665</v>
      </c>
      <c r="P352" s="370"/>
    </row>
    <row r="353" spans="2:18" ht="16.5" x14ac:dyDescent="0.3">
      <c r="B353" s="231"/>
      <c r="C353" s="200" t="s">
        <v>926</v>
      </c>
      <c r="D353" s="361"/>
      <c r="E353" s="372"/>
      <c r="F353" s="361"/>
      <c r="G353" s="361"/>
      <c r="H353" s="361">
        <f>SUM(H354:H355)</f>
        <v>5723</v>
      </c>
      <c r="I353" s="19" t="s">
        <v>41</v>
      </c>
      <c r="N353" s="361">
        <f>SUM(N354:N355)</f>
        <v>5723</v>
      </c>
      <c r="O353" s="361">
        <f>SUM(O354:O355)</f>
        <v>5723</v>
      </c>
      <c r="P353" s="203"/>
    </row>
    <row r="354" spans="2:18" ht="33" x14ac:dyDescent="0.3">
      <c r="B354" s="231"/>
      <c r="C354" s="373" t="s">
        <v>927</v>
      </c>
      <c r="D354" s="213"/>
      <c r="E354" s="212"/>
      <c r="F354" s="213"/>
      <c r="G354" s="213"/>
      <c r="H354" s="213">
        <f>'[1]previsione SMS 22-23-24'!B22</f>
        <v>5000</v>
      </c>
      <c r="I354" s="19" t="s">
        <v>41</v>
      </c>
      <c r="N354" s="213">
        <f>'[1]previsione SMS 22-23-24'!E22</f>
        <v>5000</v>
      </c>
      <c r="O354" s="213">
        <f>'[1]previsione SMS 22-23-24'!H22</f>
        <v>5000</v>
      </c>
      <c r="P354" s="374"/>
    </row>
    <row r="355" spans="2:18" ht="33" x14ac:dyDescent="0.3">
      <c r="B355" s="231"/>
      <c r="C355" s="373" t="s">
        <v>928</v>
      </c>
      <c r="D355" s="213"/>
      <c r="E355" s="212"/>
      <c r="F355" s="213"/>
      <c r="G355" s="213"/>
      <c r="H355" s="213">
        <f>'[1]previsione SMS 22-23-24'!B23</f>
        <v>723</v>
      </c>
      <c r="I355" s="19" t="s">
        <v>41</v>
      </c>
      <c r="N355" s="213">
        <f>'[1]previsione SMS 22-23-24'!E23</f>
        <v>723</v>
      </c>
      <c r="O355" s="213">
        <f>'[1]previsione SMS 22-23-24'!H23</f>
        <v>723</v>
      </c>
      <c r="P355" s="374"/>
    </row>
    <row r="356" spans="2:18" ht="18.75" x14ac:dyDescent="0.3">
      <c r="B356" s="231">
        <f>B350+1</f>
        <v>150</v>
      </c>
      <c r="C356" s="24" t="s">
        <v>210</v>
      </c>
      <c r="D356" s="24">
        <v>1432166.5024999999</v>
      </c>
      <c r="E356" s="375">
        <f>E357+E361</f>
        <v>865036</v>
      </c>
      <c r="F356" s="376">
        <f>F357+F361</f>
        <v>1287753.3199999998</v>
      </c>
      <c r="G356" s="376">
        <f>F356-E356</f>
        <v>422717.31999999983</v>
      </c>
      <c r="H356" s="24">
        <f>H357+H361+H365</f>
        <v>2087326.4916666667</v>
      </c>
      <c r="I356" s="39"/>
      <c r="N356" s="24">
        <f>N357+N361+N365</f>
        <v>2176345.1059065936</v>
      </c>
      <c r="O356" s="24">
        <f>O357+O361+O365</f>
        <v>2176345.1059065936</v>
      </c>
      <c r="P356" s="377"/>
      <c r="Q356" s="39"/>
    </row>
    <row r="357" spans="2:18" ht="16.5" x14ac:dyDescent="0.3">
      <c r="B357" s="231">
        <f t="shared" si="62"/>
        <v>151</v>
      </c>
      <c r="C357" s="25" t="s">
        <v>929</v>
      </c>
      <c r="D357" s="25">
        <v>739898.91250000009</v>
      </c>
      <c r="E357" s="378">
        <f>SUM(E358:E360)</f>
        <v>756299</v>
      </c>
      <c r="F357" s="379">
        <f>SUM(F358:F360)</f>
        <v>649508.82999999996</v>
      </c>
      <c r="G357" s="379">
        <f>F357-E357</f>
        <v>-106790.17000000004</v>
      </c>
      <c r="H357" s="378">
        <f>SUM(H358:H360)</f>
        <v>827867.88916666666</v>
      </c>
      <c r="I357" s="39"/>
      <c r="N357" s="378">
        <f>SUM(N358:N360)</f>
        <v>875886.41</v>
      </c>
      <c r="O357" s="378">
        <f>SUM(O358:O360)</f>
        <v>875886.41</v>
      </c>
      <c r="P357" s="380"/>
    </row>
    <row r="358" spans="2:18" ht="16.5" x14ac:dyDescent="0.3">
      <c r="B358" s="99">
        <f t="shared" si="62"/>
        <v>152</v>
      </c>
      <c r="C358" s="51" t="s">
        <v>930</v>
      </c>
      <c r="D358" s="54">
        <v>739898.91250000009</v>
      </c>
      <c r="E358" s="381">
        <v>756299</v>
      </c>
      <c r="F358" s="54">
        <v>649508.82999999996</v>
      </c>
      <c r="G358" s="54">
        <f>F358-E358</f>
        <v>-106790.17000000004</v>
      </c>
      <c r="H358" s="213">
        <f>'[1]72,05,010 salari e stip.2022'!P1</f>
        <v>827867.88916666666</v>
      </c>
      <c r="I358" s="382"/>
      <c r="J358" s="383"/>
      <c r="K358" s="383"/>
      <c r="L358" s="383"/>
      <c r="M358" s="383"/>
      <c r="N358" s="213">
        <f>'[1]72,05,010 salari e stip.2023'!I72</f>
        <v>875886.41</v>
      </c>
      <c r="O358" s="213">
        <f>'[1]72,05,010 salari e stip.2024'!I72</f>
        <v>875886.41</v>
      </c>
      <c r="P358" s="384"/>
      <c r="Q358" s="9"/>
      <c r="R358" s="9"/>
    </row>
    <row r="359" spans="2:18" x14ac:dyDescent="0.25">
      <c r="B359" s="99"/>
      <c r="C359" s="51" t="s">
        <v>931</v>
      </c>
      <c r="D359" s="54"/>
      <c r="E359" s="381"/>
      <c r="F359" s="54"/>
      <c r="G359" s="54"/>
      <c r="H359" s="385">
        <f>F359</f>
        <v>0</v>
      </c>
      <c r="I359" s="382"/>
      <c r="J359" s="383"/>
      <c r="K359" s="383"/>
      <c r="L359" s="383"/>
      <c r="M359" s="383"/>
      <c r="N359" s="385">
        <f>L359</f>
        <v>0</v>
      </c>
      <c r="O359" s="385">
        <f>M359</f>
        <v>0</v>
      </c>
      <c r="P359" s="386"/>
      <c r="Q359" s="9"/>
      <c r="R359" s="9"/>
    </row>
    <row r="360" spans="2:18" x14ac:dyDescent="0.25">
      <c r="B360" s="99"/>
      <c r="C360" s="51" t="s">
        <v>932</v>
      </c>
      <c r="D360" s="54"/>
      <c r="E360" s="381"/>
      <c r="F360" s="54"/>
      <c r="G360" s="54"/>
      <c r="H360" s="256"/>
      <c r="I360" s="387"/>
      <c r="J360" s="9"/>
      <c r="K360" s="9"/>
      <c r="L360" s="9"/>
      <c r="M360" s="9"/>
      <c r="N360" s="256"/>
      <c r="O360" s="256"/>
      <c r="P360" s="386"/>
      <c r="Q360" s="9"/>
      <c r="R360" s="9"/>
    </row>
    <row r="361" spans="2:18" ht="16.5" x14ac:dyDescent="0.3">
      <c r="B361" s="231">
        <f>B358+1</f>
        <v>153</v>
      </c>
      <c r="C361" s="30" t="s">
        <v>933</v>
      </c>
      <c r="D361" s="30">
        <v>692267.58999999985</v>
      </c>
      <c r="E361" s="388">
        <f>SUM(E362:E364)</f>
        <v>108737</v>
      </c>
      <c r="F361" s="389">
        <f>SUM(F362:F364)</f>
        <v>638244.49</v>
      </c>
      <c r="G361" s="389">
        <f>F361-E361</f>
        <v>529507.49</v>
      </c>
      <c r="H361" s="30">
        <f>SUM(H362:H364)</f>
        <v>750458.60249999992</v>
      </c>
      <c r="I361" s="39"/>
      <c r="N361" s="30">
        <f>SUM(N362:N364)</f>
        <v>750458.60249999992</v>
      </c>
      <c r="O361" s="30">
        <f>SUM(O362:O364)</f>
        <v>750458.60249999992</v>
      </c>
      <c r="P361" s="390"/>
    </row>
    <row r="362" spans="2:18" x14ac:dyDescent="0.25">
      <c r="B362" s="231">
        <f t="shared" si="62"/>
        <v>154</v>
      </c>
      <c r="C362" s="51" t="s">
        <v>934</v>
      </c>
      <c r="D362" s="54">
        <v>692267.58999999985</v>
      </c>
      <c r="E362" s="381">
        <v>108737</v>
      </c>
      <c r="F362" s="54">
        <v>638244.49</v>
      </c>
      <c r="G362" s="54">
        <f>F362-E362</f>
        <v>529507.49</v>
      </c>
      <c r="H362" s="54">
        <f>'[1]72,05,701 salari tributi 2022'!I78</f>
        <v>750458.60249999992</v>
      </c>
      <c r="I362" s="39"/>
      <c r="N362" s="54">
        <f>'[1]72,05,701 salari tributi 2023'!I78</f>
        <v>750458.60249999992</v>
      </c>
      <c r="O362" s="54">
        <f>'[1]72,05,701 salari tributi 2024'!I78</f>
        <v>750458.60249999992</v>
      </c>
      <c r="P362" s="249"/>
    </row>
    <row r="363" spans="2:18" x14ac:dyDescent="0.25">
      <c r="B363" s="231"/>
      <c r="C363" s="51" t="s">
        <v>935</v>
      </c>
      <c r="D363" s="54"/>
      <c r="E363" s="381"/>
      <c r="F363" s="54"/>
      <c r="G363" s="54"/>
      <c r="H363" s="54"/>
      <c r="I363" s="39"/>
      <c r="N363" s="54"/>
      <c r="O363" s="54"/>
      <c r="P363" s="249"/>
    </row>
    <row r="364" spans="2:18" x14ac:dyDescent="0.25">
      <c r="B364" s="231"/>
      <c r="C364" s="51" t="s">
        <v>936</v>
      </c>
      <c r="D364" s="54"/>
      <c r="E364" s="381"/>
      <c r="F364" s="54"/>
      <c r="G364" s="54"/>
      <c r="H364" s="54">
        <f>F364</f>
        <v>0</v>
      </c>
      <c r="I364" s="39"/>
      <c r="N364" s="54">
        <f>L364</f>
        <v>0</v>
      </c>
      <c r="O364" s="54">
        <f>M364</f>
        <v>0</v>
      </c>
      <c r="P364" s="249"/>
    </row>
    <row r="365" spans="2:18" ht="16.5" x14ac:dyDescent="0.3">
      <c r="B365" s="231">
        <f>B362+1</f>
        <v>155</v>
      </c>
      <c r="C365" s="244" t="s">
        <v>937</v>
      </c>
      <c r="D365" s="391"/>
      <c r="E365" s="392"/>
      <c r="F365" s="391"/>
      <c r="G365" s="391"/>
      <c r="H365" s="391">
        <f>'[1]previsione SMS 22-23-24'!B26</f>
        <v>509000</v>
      </c>
      <c r="I365" s="39"/>
      <c r="N365" s="391">
        <f>'[1]previsione SMS 22-23-24'!E26</f>
        <v>550000.09340659343</v>
      </c>
      <c r="O365" s="391">
        <f>'[1]previsione SMS 22-23-24'!H26</f>
        <v>550000.09340659343</v>
      </c>
      <c r="P365" s="393"/>
    </row>
    <row r="366" spans="2:18" x14ac:dyDescent="0.25">
      <c r="B366" s="231"/>
      <c r="C366" s="8"/>
      <c r="D366" s="7"/>
      <c r="E366" s="162"/>
      <c r="F366" s="7"/>
      <c r="G366" s="7"/>
      <c r="H366" s="7"/>
      <c r="I366" s="39"/>
      <c r="N366" s="7"/>
      <c r="O366" s="7"/>
      <c r="P366" s="163"/>
    </row>
    <row r="367" spans="2:18" ht="18.75" x14ac:dyDescent="0.3">
      <c r="B367" s="231">
        <f>B365+1</f>
        <v>156</v>
      </c>
      <c r="C367" s="24" t="s">
        <v>938</v>
      </c>
      <c r="D367" s="24">
        <v>411106.11</v>
      </c>
      <c r="E367" s="375">
        <f>E368+E374-1</f>
        <v>301928</v>
      </c>
      <c r="F367" s="376">
        <f>F368+F374</f>
        <v>397437.35000000003</v>
      </c>
      <c r="G367" s="376">
        <f>F367-E367</f>
        <v>95509.350000000035</v>
      </c>
      <c r="H367" s="24">
        <f>H368+H374+H380</f>
        <v>397437.34499999997</v>
      </c>
      <c r="I367" s="39"/>
      <c r="N367" s="24">
        <f>N368+N374+N380</f>
        <v>397437.34499999997</v>
      </c>
      <c r="O367" s="24">
        <f>O368+O374+O380</f>
        <v>397437.34499999997</v>
      </c>
      <c r="P367" s="377"/>
    </row>
    <row r="368" spans="2:18" ht="16.5" x14ac:dyDescent="0.3">
      <c r="B368" s="231">
        <f t="shared" si="62"/>
        <v>157</v>
      </c>
      <c r="C368" s="25" t="s">
        <v>939</v>
      </c>
      <c r="D368" s="25">
        <v>202948.51500000004</v>
      </c>
      <c r="E368" s="378">
        <f>SUM(E369:E373)</f>
        <v>264510</v>
      </c>
      <c r="F368" s="379">
        <f>SUM(F369:F372)</f>
        <v>200327.00000000003</v>
      </c>
      <c r="G368" s="379">
        <f>F368-E368</f>
        <v>-64182.999999999971</v>
      </c>
      <c r="H368" s="378">
        <f>SUM(H369:H372)</f>
        <v>200327.00000000003</v>
      </c>
      <c r="I368" s="39"/>
      <c r="N368" s="378">
        <f>SUM(N369:N372)</f>
        <v>200327.00000000003</v>
      </c>
      <c r="O368" s="378">
        <f>SUM(O369:O372)</f>
        <v>200327.00000000003</v>
      </c>
      <c r="P368" s="380"/>
    </row>
    <row r="369" spans="2:16" x14ac:dyDescent="0.25">
      <c r="B369" s="231">
        <f t="shared" si="62"/>
        <v>158</v>
      </c>
      <c r="C369" s="51" t="s">
        <v>940</v>
      </c>
      <c r="D369" s="54">
        <v>191303.58500000002</v>
      </c>
      <c r="E369" s="381">
        <v>227135</v>
      </c>
      <c r="F369" s="54">
        <v>189725.1</v>
      </c>
      <c r="G369" s="54">
        <f>F369-E369</f>
        <v>-37409.899999999994</v>
      </c>
      <c r="H369" s="54">
        <f>F369</f>
        <v>189725.1</v>
      </c>
      <c r="I369" s="39"/>
      <c r="N369" s="54">
        <v>189725.1</v>
      </c>
      <c r="O369" s="54">
        <v>189725.1</v>
      </c>
      <c r="P369" s="249"/>
    </row>
    <row r="370" spans="2:16" x14ac:dyDescent="0.25">
      <c r="B370" s="231">
        <f t="shared" si="62"/>
        <v>159</v>
      </c>
      <c r="C370" s="51" t="s">
        <v>941</v>
      </c>
      <c r="D370" s="54">
        <v>3291.5699999999997</v>
      </c>
      <c r="E370" s="381">
        <v>3376</v>
      </c>
      <c r="F370" s="54">
        <v>2787.89</v>
      </c>
      <c r="G370" s="54">
        <f t="shared" ref="G370:G373" si="65">F370-E370</f>
        <v>-588.11000000000013</v>
      </c>
      <c r="H370" s="54">
        <f>F370</f>
        <v>2787.89</v>
      </c>
      <c r="I370" s="39"/>
      <c r="N370" s="54">
        <v>2787.89</v>
      </c>
      <c r="O370" s="54">
        <v>2787.89</v>
      </c>
      <c r="P370" s="249"/>
    </row>
    <row r="371" spans="2:16" x14ac:dyDescent="0.25">
      <c r="B371" s="231">
        <f t="shared" si="62"/>
        <v>160</v>
      </c>
      <c r="C371" s="51" t="s">
        <v>942</v>
      </c>
      <c r="D371" s="54">
        <v>8353.360000000006</v>
      </c>
      <c r="E371" s="381">
        <v>13826</v>
      </c>
      <c r="F371" s="54">
        <v>7814.01</v>
      </c>
      <c r="G371" s="54">
        <f t="shared" si="65"/>
        <v>-6011.99</v>
      </c>
      <c r="H371" s="54">
        <f>F371</f>
        <v>7814.01</v>
      </c>
      <c r="I371" s="39"/>
      <c r="N371" s="54">
        <v>7814.01</v>
      </c>
      <c r="O371" s="54">
        <v>7814.01</v>
      </c>
      <c r="P371" s="249"/>
    </row>
    <row r="372" spans="2:16" ht="27" x14ac:dyDescent="0.25">
      <c r="B372" s="231">
        <f t="shared" si="62"/>
        <v>161</v>
      </c>
      <c r="C372" s="51" t="s">
        <v>943</v>
      </c>
      <c r="D372" s="54">
        <v>0</v>
      </c>
      <c r="E372" s="381"/>
      <c r="F372" s="54">
        <v>0</v>
      </c>
      <c r="G372" s="54">
        <f t="shared" si="65"/>
        <v>0</v>
      </c>
      <c r="H372" s="54">
        <v>0</v>
      </c>
      <c r="I372" s="39"/>
      <c r="N372" s="54">
        <v>0</v>
      </c>
      <c r="O372" s="54">
        <v>0</v>
      </c>
      <c r="P372" s="249"/>
    </row>
    <row r="373" spans="2:16" ht="27" x14ac:dyDescent="0.25">
      <c r="B373" s="231"/>
      <c r="C373" s="51" t="s">
        <v>944</v>
      </c>
      <c r="D373" s="54"/>
      <c r="E373" s="381">
        <v>20173</v>
      </c>
      <c r="F373" s="54"/>
      <c r="G373" s="54">
        <f t="shared" si="65"/>
        <v>-20173</v>
      </c>
      <c r="H373" s="54"/>
      <c r="I373" s="39"/>
      <c r="N373" s="54"/>
      <c r="O373" s="54"/>
      <c r="P373" s="249"/>
    </row>
    <row r="374" spans="2:16" ht="16.5" x14ac:dyDescent="0.3">
      <c r="B374" s="231">
        <f>B369+1</f>
        <v>159</v>
      </c>
      <c r="C374" s="30" t="s">
        <v>945</v>
      </c>
      <c r="D374" s="30">
        <v>208157.59499999991</v>
      </c>
      <c r="E374" s="388">
        <f>SUM(E375:E379)</f>
        <v>37419</v>
      </c>
      <c r="F374" s="389">
        <f>SUM(F375:F378)</f>
        <v>197110.35</v>
      </c>
      <c r="G374" s="389">
        <f>F374-E374</f>
        <v>159691.35</v>
      </c>
      <c r="H374" s="30">
        <f>SUM(H375:H378)</f>
        <v>197110.34499999994</v>
      </c>
      <c r="I374" s="39"/>
      <c r="N374" s="30">
        <f>SUM(N375:N378)</f>
        <v>197110.34499999994</v>
      </c>
      <c r="O374" s="30">
        <f>SUM(O375:O378)</f>
        <v>197110.34499999994</v>
      </c>
      <c r="P374" s="390"/>
    </row>
    <row r="375" spans="2:16" x14ac:dyDescent="0.25">
      <c r="B375" s="231">
        <f>B370+1</f>
        <v>160</v>
      </c>
      <c r="C375" s="51" t="s">
        <v>946</v>
      </c>
      <c r="D375" s="54">
        <v>188241.95499999993</v>
      </c>
      <c r="E375" s="381">
        <v>31781</v>
      </c>
      <c r="F375" s="54">
        <v>178562.29</v>
      </c>
      <c r="G375" s="54">
        <f>F375-E375</f>
        <v>146781.29</v>
      </c>
      <c r="H375" s="54">
        <f>'[1]72,15,705 oner.soc.inps att.tri'!P1</f>
        <v>178562.28499999995</v>
      </c>
      <c r="I375" s="39"/>
      <c r="N375" s="54">
        <v>178562.28499999995</v>
      </c>
      <c r="O375" s="54">
        <v>178562.28499999995</v>
      </c>
      <c r="P375" s="249"/>
    </row>
    <row r="376" spans="2:16" x14ac:dyDescent="0.25">
      <c r="B376" s="231">
        <f>B371+1</f>
        <v>161</v>
      </c>
      <c r="C376" s="51" t="s">
        <v>947</v>
      </c>
      <c r="D376" s="54">
        <v>2920.6600000000008</v>
      </c>
      <c r="E376" s="381">
        <v>543</v>
      </c>
      <c r="F376" s="54">
        <v>2906.18</v>
      </c>
      <c r="G376" s="54">
        <f t="shared" ref="G376:G379" si="66">F376-E376</f>
        <v>2363.1799999999998</v>
      </c>
      <c r="H376" s="54">
        <f>'[1]72,15,725 on.soc.inail tributi'!P1</f>
        <v>2906.1800000000007</v>
      </c>
      <c r="I376" s="39"/>
      <c r="N376" s="54">
        <v>2906.1800000000007</v>
      </c>
      <c r="O376" s="54">
        <v>2906.1800000000007</v>
      </c>
      <c r="P376" s="249"/>
    </row>
    <row r="377" spans="2:16" ht="27" x14ac:dyDescent="0.25">
      <c r="B377" s="231">
        <f>B372+1</f>
        <v>162</v>
      </c>
      <c r="C377" s="51" t="s">
        <v>948</v>
      </c>
      <c r="D377" s="54">
        <v>16994.979999999996</v>
      </c>
      <c r="E377" s="381">
        <v>4036</v>
      </c>
      <c r="F377" s="54">
        <v>15641.88</v>
      </c>
      <c r="G377" s="54">
        <f t="shared" si="66"/>
        <v>11605.88</v>
      </c>
      <c r="H377" s="54">
        <f>'[1]72,15,0793 ATRI ON.SOCI DIP.TEM'!P1</f>
        <v>15641.879999999997</v>
      </c>
      <c r="I377" s="39"/>
      <c r="N377" s="54">
        <v>15641.879999999997</v>
      </c>
      <c r="O377" s="54">
        <v>15641.879999999997</v>
      </c>
      <c r="P377" s="249"/>
    </row>
    <row r="378" spans="2:16" x14ac:dyDescent="0.25">
      <c r="B378" s="231">
        <f>B374+1</f>
        <v>160</v>
      </c>
      <c r="C378" s="51" t="s">
        <v>949</v>
      </c>
      <c r="D378" s="54">
        <v>0</v>
      </c>
      <c r="E378" s="381"/>
      <c r="F378" s="54">
        <v>0</v>
      </c>
      <c r="G378" s="54">
        <f t="shared" si="66"/>
        <v>0</v>
      </c>
      <c r="H378" s="54">
        <v>0</v>
      </c>
      <c r="I378" s="39"/>
      <c r="N378" s="54">
        <v>0</v>
      </c>
      <c r="O378" s="54">
        <v>0</v>
      </c>
      <c r="P378" s="249"/>
    </row>
    <row r="379" spans="2:16" ht="27" x14ac:dyDescent="0.25">
      <c r="B379" s="231"/>
      <c r="C379" s="51" t="s">
        <v>950</v>
      </c>
      <c r="D379" s="54"/>
      <c r="E379" s="381">
        <v>1059</v>
      </c>
      <c r="F379" s="54"/>
      <c r="G379" s="54">
        <f t="shared" si="66"/>
        <v>-1059</v>
      </c>
      <c r="H379" s="54"/>
      <c r="I379" s="39"/>
      <c r="N379" s="54"/>
      <c r="O379" s="54"/>
      <c r="P379" s="249"/>
    </row>
    <row r="380" spans="2:16" ht="16.5" x14ac:dyDescent="0.3">
      <c r="B380" s="231">
        <f>B375+1</f>
        <v>161</v>
      </c>
      <c r="C380" s="244" t="s">
        <v>951</v>
      </c>
      <c r="D380" s="391"/>
      <c r="E380" s="392"/>
      <c r="F380" s="391"/>
      <c r="G380" s="391"/>
      <c r="H380" s="391"/>
      <c r="I380" s="39"/>
      <c r="N380" s="391"/>
      <c r="O380" s="391"/>
      <c r="P380" s="393"/>
    </row>
    <row r="381" spans="2:16" x14ac:dyDescent="0.25">
      <c r="B381" s="231"/>
      <c r="C381" s="8"/>
      <c r="D381" s="7"/>
      <c r="E381" s="162"/>
      <c r="F381" s="7"/>
      <c r="G381" s="7"/>
      <c r="H381" s="7"/>
      <c r="I381" s="39"/>
      <c r="N381" s="7"/>
      <c r="O381" s="7"/>
      <c r="P381" s="163"/>
    </row>
    <row r="382" spans="2:16" ht="18.75" x14ac:dyDescent="0.3">
      <c r="B382" s="231">
        <f>B376+1</f>
        <v>162</v>
      </c>
      <c r="C382" s="24" t="s">
        <v>952</v>
      </c>
      <c r="D382" s="24">
        <v>93267.670000000013</v>
      </c>
      <c r="E382" s="375">
        <f>E383+E385</f>
        <v>90660</v>
      </c>
      <c r="F382" s="376">
        <f>F383+F385</f>
        <v>115564.15</v>
      </c>
      <c r="G382" s="376">
        <f>F382-E382</f>
        <v>24904.149999999994</v>
      </c>
      <c r="H382" s="24">
        <f>H383+H385+H387</f>
        <v>115564.15</v>
      </c>
      <c r="I382" s="39"/>
      <c r="N382" s="24">
        <f>N383+N385+N387</f>
        <v>115564.15</v>
      </c>
      <c r="O382" s="24">
        <f>O383+O385+O387</f>
        <v>115564.15</v>
      </c>
      <c r="P382" s="377"/>
    </row>
    <row r="383" spans="2:16" ht="16.5" x14ac:dyDescent="0.3">
      <c r="B383" s="231">
        <f>B377+1</f>
        <v>163</v>
      </c>
      <c r="C383" s="25" t="s">
        <v>953</v>
      </c>
      <c r="D383" s="25">
        <v>62918.930000000008</v>
      </c>
      <c r="E383" s="378">
        <f>E384</f>
        <v>79007</v>
      </c>
      <c r="F383" s="379">
        <f>F384</f>
        <v>63687.21</v>
      </c>
      <c r="G383" s="379">
        <f>F383-E383</f>
        <v>-15319.79</v>
      </c>
      <c r="H383" s="25">
        <f>H384</f>
        <v>63687.21</v>
      </c>
      <c r="I383" s="39"/>
      <c r="N383" s="25">
        <f>N384</f>
        <v>63687.21</v>
      </c>
      <c r="O383" s="25">
        <f>O384</f>
        <v>63687.21</v>
      </c>
      <c r="P383" s="394"/>
    </row>
    <row r="384" spans="2:16" x14ac:dyDescent="0.25">
      <c r="B384" s="231">
        <f>B378+1</f>
        <v>161</v>
      </c>
      <c r="C384" s="51" t="s">
        <v>954</v>
      </c>
      <c r="D384" s="54">
        <v>62918.930000000008</v>
      </c>
      <c r="E384" s="381">
        <v>79007</v>
      </c>
      <c r="F384" s="54">
        <v>63687.21</v>
      </c>
      <c r="G384" s="54">
        <f>F384-E384</f>
        <v>-15319.79</v>
      </c>
      <c r="H384" s="54">
        <f>F384</f>
        <v>63687.21</v>
      </c>
      <c r="I384" s="39"/>
      <c r="N384" s="54">
        <v>63687.21</v>
      </c>
      <c r="O384" s="54">
        <v>63687.21</v>
      </c>
      <c r="P384" s="249"/>
    </row>
    <row r="385" spans="2:17" ht="16.5" x14ac:dyDescent="0.3">
      <c r="B385" s="231">
        <f>B380+1</f>
        <v>162</v>
      </c>
      <c r="C385" s="30" t="s">
        <v>955</v>
      </c>
      <c r="D385" s="30">
        <v>30348.74</v>
      </c>
      <c r="E385" s="388">
        <f>E386</f>
        <v>11653</v>
      </c>
      <c r="F385" s="389">
        <f>F386</f>
        <v>51876.94</v>
      </c>
      <c r="G385" s="389">
        <f>F385-E385</f>
        <v>40223.94</v>
      </c>
      <c r="H385" s="30">
        <f>H386</f>
        <v>51876.94</v>
      </c>
      <c r="I385" s="39"/>
      <c r="N385" s="30">
        <f>N386</f>
        <v>51876.94</v>
      </c>
      <c r="O385" s="30">
        <f>O386</f>
        <v>51876.94</v>
      </c>
      <c r="P385" s="390"/>
    </row>
    <row r="386" spans="2:17" x14ac:dyDescent="0.25">
      <c r="B386" s="231">
        <f t="shared" ref="B386:B449" si="67">B382+1</f>
        <v>163</v>
      </c>
      <c r="C386" s="51" t="s">
        <v>956</v>
      </c>
      <c r="D386" s="54">
        <v>30348.74</v>
      </c>
      <c r="E386" s="381">
        <v>11653</v>
      </c>
      <c r="F386" s="54">
        <v>51876.94</v>
      </c>
      <c r="G386" s="54">
        <f>F386-E386</f>
        <v>40223.94</v>
      </c>
      <c r="H386" s="54">
        <f>'[1]72,20,701 TFR TRIBUTI'!P1</f>
        <v>51876.94</v>
      </c>
      <c r="I386" s="39"/>
      <c r="N386" s="54">
        <v>51876.94</v>
      </c>
      <c r="O386" s="54">
        <v>51876.94</v>
      </c>
      <c r="P386" s="249"/>
    </row>
    <row r="387" spans="2:17" ht="16.5" x14ac:dyDescent="0.3">
      <c r="B387" s="231">
        <f t="shared" si="67"/>
        <v>164</v>
      </c>
      <c r="C387" s="244" t="s">
        <v>957</v>
      </c>
      <c r="D387" s="391"/>
      <c r="E387" s="392"/>
      <c r="F387" s="391"/>
      <c r="G387" s="391"/>
      <c r="H387" s="391"/>
      <c r="I387" s="39"/>
      <c r="N387" s="391"/>
      <c r="O387" s="391"/>
      <c r="P387" s="393"/>
    </row>
    <row r="388" spans="2:17" x14ac:dyDescent="0.25">
      <c r="B388" s="231"/>
      <c r="C388" s="8"/>
      <c r="D388" s="7"/>
      <c r="E388" s="162"/>
      <c r="F388" s="7"/>
      <c r="G388" s="7"/>
      <c r="H388" s="7"/>
      <c r="I388" s="39"/>
      <c r="N388" s="7"/>
      <c r="O388" s="7"/>
      <c r="P388" s="163"/>
    </row>
    <row r="389" spans="2:17" ht="18.75" x14ac:dyDescent="0.3">
      <c r="B389" s="231">
        <f>B384+1</f>
        <v>162</v>
      </c>
      <c r="C389" s="24" t="s">
        <v>958</v>
      </c>
      <c r="D389" s="24">
        <v>30104.270000000008</v>
      </c>
      <c r="E389" s="375">
        <f>E390+E393</f>
        <v>0</v>
      </c>
      <c r="F389" s="376">
        <f>F390+F393</f>
        <v>29188.03</v>
      </c>
      <c r="G389" s="376">
        <f t="shared" ref="G389:G395" si="68">F389-E389</f>
        <v>29188.03</v>
      </c>
      <c r="H389" s="24">
        <f>H390+H393+H396</f>
        <v>29188.030000000006</v>
      </c>
      <c r="I389" s="39"/>
      <c r="N389" s="24">
        <f>N390+N393+N396</f>
        <v>29188.030000000006</v>
      </c>
      <c r="O389" s="24">
        <f>O390+O393+O396</f>
        <v>29188.030000000006</v>
      </c>
      <c r="P389" s="377"/>
    </row>
    <row r="390" spans="2:17" ht="33" x14ac:dyDescent="0.3">
      <c r="B390" s="231">
        <f>B385+1</f>
        <v>163</v>
      </c>
      <c r="C390" s="25" t="s">
        <v>959</v>
      </c>
      <c r="D390" s="25">
        <v>11131.990000000002</v>
      </c>
      <c r="E390" s="378">
        <f>E392+E391</f>
        <v>0</v>
      </c>
      <c r="F390" s="379">
        <f>F392+F391</f>
        <v>10562.83</v>
      </c>
      <c r="G390" s="379">
        <f t="shared" si="68"/>
        <v>10562.83</v>
      </c>
      <c r="H390" s="25">
        <f>H392+H391</f>
        <v>10562.83</v>
      </c>
      <c r="I390" s="39"/>
      <c r="N390" s="25">
        <f>N392+N391</f>
        <v>10562.83</v>
      </c>
      <c r="O390" s="25">
        <f>O392+O391</f>
        <v>10562.83</v>
      </c>
      <c r="P390" s="394"/>
    </row>
    <row r="391" spans="2:17" x14ac:dyDescent="0.25">
      <c r="B391" s="231">
        <f>B386+1</f>
        <v>164</v>
      </c>
      <c r="C391" s="51" t="s">
        <v>960</v>
      </c>
      <c r="D391" s="54">
        <v>4738.92</v>
      </c>
      <c r="E391" s="381"/>
      <c r="F391" s="54">
        <v>4427.33</v>
      </c>
      <c r="G391" s="54">
        <f t="shared" si="68"/>
        <v>4427.33</v>
      </c>
      <c r="H391" s="54">
        <f>F391</f>
        <v>4427.33</v>
      </c>
      <c r="I391" s="39"/>
      <c r="N391" s="54">
        <v>4427.33</v>
      </c>
      <c r="O391" s="54">
        <v>4427.33</v>
      </c>
      <c r="P391" s="249"/>
    </row>
    <row r="392" spans="2:17" x14ac:dyDescent="0.25">
      <c r="B392" s="231">
        <f>B387+1</f>
        <v>165</v>
      </c>
      <c r="C392" s="51" t="s">
        <v>961</v>
      </c>
      <c r="D392" s="54">
        <v>6393.0700000000006</v>
      </c>
      <c r="E392" s="381"/>
      <c r="F392" s="54">
        <v>6135.5</v>
      </c>
      <c r="G392" s="54">
        <f t="shared" si="68"/>
        <v>6135.5</v>
      </c>
      <c r="H392" s="54">
        <f>F392</f>
        <v>6135.5</v>
      </c>
      <c r="I392" s="39"/>
      <c r="N392" s="54">
        <v>6135.5</v>
      </c>
      <c r="O392" s="54">
        <v>6135.5</v>
      </c>
      <c r="P392" s="249"/>
    </row>
    <row r="393" spans="2:17" ht="16.5" x14ac:dyDescent="0.3">
      <c r="B393" s="231">
        <f t="shared" si="67"/>
        <v>163</v>
      </c>
      <c r="C393" s="30" t="s">
        <v>962</v>
      </c>
      <c r="D393" s="30">
        <v>18972.280000000006</v>
      </c>
      <c r="E393" s="388">
        <f>SUM(E394:E395)</f>
        <v>0</v>
      </c>
      <c r="F393" s="389">
        <f>SUM(F394:F395)</f>
        <v>18625.2</v>
      </c>
      <c r="G393" s="389">
        <f t="shared" si="68"/>
        <v>18625.2</v>
      </c>
      <c r="H393" s="30">
        <f>SUM(H394:H395)</f>
        <v>18625.200000000004</v>
      </c>
      <c r="I393" s="39"/>
      <c r="N393" s="30">
        <f>SUM(N394:N395)</f>
        <v>18625.200000000004</v>
      </c>
      <c r="O393" s="30">
        <f>SUM(O394:O395)</f>
        <v>18625.200000000004</v>
      </c>
      <c r="P393" s="390"/>
    </row>
    <row r="394" spans="2:17" ht="27" x14ac:dyDescent="0.25">
      <c r="B394" s="231">
        <f>B390+1</f>
        <v>164</v>
      </c>
      <c r="C394" s="51" t="s">
        <v>963</v>
      </c>
      <c r="D394" s="54">
        <v>14204.720000000007</v>
      </c>
      <c r="E394" s="381"/>
      <c r="F394" s="54">
        <v>13292.56</v>
      </c>
      <c r="G394" s="54">
        <f t="shared" si="68"/>
        <v>13292.56</v>
      </c>
      <c r="H394" s="54">
        <f>'[1]72,25,705 acc.fdo.trat.quie.TR'!P1</f>
        <v>13292.560000000007</v>
      </c>
      <c r="I394" s="39"/>
      <c r="N394" s="54">
        <v>13292.560000000007</v>
      </c>
      <c r="O394" s="54">
        <v>13292.560000000007</v>
      </c>
      <c r="P394" s="249"/>
    </row>
    <row r="395" spans="2:17" x14ac:dyDescent="0.25">
      <c r="B395" s="231">
        <f>B391+1</f>
        <v>165</v>
      </c>
      <c r="C395" s="51" t="s">
        <v>964</v>
      </c>
      <c r="D395" s="54">
        <v>4767.5599999999986</v>
      </c>
      <c r="E395" s="381"/>
      <c r="F395" s="54">
        <v>5332.64</v>
      </c>
      <c r="G395" s="54">
        <f t="shared" si="68"/>
        <v>5332.64</v>
      </c>
      <c r="H395" s="54">
        <f>'[1]72,25,0710 CONT.PREV.INTEG.AZ.D'!P1</f>
        <v>5332.6399999999985</v>
      </c>
      <c r="I395" s="39"/>
      <c r="N395" s="54">
        <v>5332.6399999999985</v>
      </c>
      <c r="O395" s="54">
        <v>5332.6399999999985</v>
      </c>
      <c r="P395" s="249"/>
    </row>
    <row r="396" spans="2:17" ht="16.5" x14ac:dyDescent="0.3">
      <c r="B396" s="231"/>
      <c r="C396" s="244" t="s">
        <v>965</v>
      </c>
      <c r="D396" s="391"/>
      <c r="E396" s="392"/>
      <c r="F396" s="391"/>
      <c r="G396" s="391"/>
      <c r="H396" s="391"/>
      <c r="I396" s="39"/>
      <c r="N396" s="391"/>
      <c r="O396" s="391"/>
      <c r="P396" s="393"/>
    </row>
    <row r="397" spans="2:17" ht="37.5" x14ac:dyDescent="0.3">
      <c r="B397" s="231">
        <f>B392+1</f>
        <v>166</v>
      </c>
      <c r="C397" s="395" t="s">
        <v>211</v>
      </c>
      <c r="D397" s="396">
        <v>1016898.3475000001</v>
      </c>
      <c r="E397" s="397">
        <f>E357+E368+E383+E390</f>
        <v>1099816</v>
      </c>
      <c r="F397" s="396">
        <f>F357+F368+F383+F390</f>
        <v>924085.86999999988</v>
      </c>
      <c r="G397" s="396">
        <f>F397-E397</f>
        <v>-175730.13000000012</v>
      </c>
      <c r="H397" s="396">
        <f>H357+H368+H383+H390</f>
        <v>1102444.9291666667</v>
      </c>
      <c r="I397" s="39"/>
      <c r="N397" s="396">
        <f>N357+N368+N383+N390</f>
        <v>1150463.4500000002</v>
      </c>
      <c r="O397" s="396">
        <f>O357+O368+O383+O390</f>
        <v>1150463.4500000002</v>
      </c>
      <c r="P397" s="398"/>
      <c r="Q397" s="39"/>
    </row>
    <row r="398" spans="2:17" ht="37.5" x14ac:dyDescent="0.3">
      <c r="B398" s="231">
        <f>B393+1</f>
        <v>164</v>
      </c>
      <c r="C398" s="399" t="s">
        <v>212</v>
      </c>
      <c r="D398" s="400">
        <v>949746.20499999984</v>
      </c>
      <c r="E398" s="401">
        <f>E361+E374+E385+E393</f>
        <v>157809</v>
      </c>
      <c r="F398" s="400">
        <f>F361+F374+F385+F393</f>
        <v>905856.98</v>
      </c>
      <c r="G398" s="400">
        <f>F398-E398</f>
        <v>748047.98</v>
      </c>
      <c r="H398" s="400">
        <f>H361+H374+H385+H393</f>
        <v>1018071.0874999999</v>
      </c>
      <c r="I398" s="39"/>
      <c r="N398" s="400">
        <f>N361+N374+N385+N393</f>
        <v>1018071.0874999999</v>
      </c>
      <c r="O398" s="400">
        <f>O361+O374+O385+O393</f>
        <v>1018071.0874999999</v>
      </c>
      <c r="P398" s="402"/>
      <c r="Q398" s="39"/>
    </row>
    <row r="399" spans="2:17" ht="18.75" x14ac:dyDescent="0.3">
      <c r="B399" s="231"/>
      <c r="C399" s="403" t="s">
        <v>966</v>
      </c>
      <c r="D399" s="404"/>
      <c r="E399" s="405"/>
      <c r="F399" s="404"/>
      <c r="G399" s="404"/>
      <c r="H399" s="404">
        <f>H365+H380+H387+H396</f>
        <v>509000</v>
      </c>
      <c r="I399" s="39"/>
      <c r="N399" s="404">
        <f>N365+N380+N387+N396</f>
        <v>550000.09340659343</v>
      </c>
      <c r="O399" s="404">
        <f>O365+O380+O387+O396</f>
        <v>550000.09340659343</v>
      </c>
      <c r="P399" s="406"/>
      <c r="Q399" s="39"/>
    </row>
    <row r="400" spans="2:17" ht="20.25" x14ac:dyDescent="0.3">
      <c r="B400" s="231">
        <f>B394+1</f>
        <v>165</v>
      </c>
      <c r="C400" s="49" t="s">
        <v>213</v>
      </c>
      <c r="D400" s="41">
        <v>1966644.5524999998</v>
      </c>
      <c r="E400" s="233">
        <f>E356+E367+E382+E389</f>
        <v>1257624</v>
      </c>
      <c r="F400" s="41">
        <f>F356+F367+F382+F389</f>
        <v>1829942.8499999999</v>
      </c>
      <c r="G400" s="41">
        <f>F400-E400</f>
        <v>572318.84999999986</v>
      </c>
      <c r="H400" s="41">
        <f>H356+H367+H382+H389</f>
        <v>2629516.0166666666</v>
      </c>
      <c r="I400" s="39"/>
      <c r="N400" s="41">
        <f>N356+N367+N382+N389</f>
        <v>2718534.6309065931</v>
      </c>
      <c r="O400" s="41">
        <f>O356+O367+O382+O389</f>
        <v>2718534.6309065931</v>
      </c>
      <c r="P400" s="234"/>
      <c r="Q400" s="39"/>
    </row>
    <row r="401" spans="2:19" x14ac:dyDescent="0.25">
      <c r="B401" s="231">
        <f>B395+1</f>
        <v>166</v>
      </c>
      <c r="C401" s="20"/>
      <c r="D401" s="38"/>
      <c r="E401" s="407"/>
      <c r="F401" s="38"/>
      <c r="G401" s="38"/>
      <c r="H401" s="38"/>
      <c r="N401" s="38"/>
      <c r="O401" s="38"/>
      <c r="P401" s="408"/>
    </row>
    <row r="402" spans="2:19" x14ac:dyDescent="0.25">
      <c r="B402" s="231">
        <f>B397+1</f>
        <v>167</v>
      </c>
      <c r="C402" s="50" t="s">
        <v>214</v>
      </c>
      <c r="D402" s="38"/>
      <c r="E402" s="407"/>
      <c r="F402" s="38"/>
      <c r="G402" s="38"/>
      <c r="H402" s="38"/>
      <c r="N402" s="38"/>
      <c r="O402" s="38"/>
      <c r="P402" s="408"/>
    </row>
    <row r="403" spans="2:19" ht="18.75" x14ac:dyDescent="0.3">
      <c r="B403" s="231">
        <f>B398+1</f>
        <v>165</v>
      </c>
      <c r="C403" s="24" t="s">
        <v>215</v>
      </c>
      <c r="D403" s="17">
        <v>53925.72</v>
      </c>
      <c r="E403" s="235">
        <f>SUM(E404+E409)</f>
        <v>113785</v>
      </c>
      <c r="F403" s="17">
        <f>SUM(F404+F409)</f>
        <v>53625.72</v>
      </c>
      <c r="G403" s="17">
        <f>F403-E403</f>
        <v>-60159.28</v>
      </c>
      <c r="H403" s="17">
        <f>SUM(H404+H409)+H412</f>
        <v>107107.2</v>
      </c>
      <c r="N403" s="17">
        <f>SUM(N404+N409)+N412</f>
        <v>166320.97999999998</v>
      </c>
      <c r="O403" s="17">
        <f>SUM(O404+O409)+O412</f>
        <v>193320.97999999998</v>
      </c>
      <c r="P403" s="236"/>
    </row>
    <row r="404" spans="2:19" ht="33" x14ac:dyDescent="0.3">
      <c r="B404" s="231">
        <f t="shared" si="67"/>
        <v>166</v>
      </c>
      <c r="C404" s="25" t="s">
        <v>216</v>
      </c>
      <c r="D404" s="26">
        <v>19526.72</v>
      </c>
      <c r="E404" s="237">
        <f>SUM(E405:E408)</f>
        <v>79386</v>
      </c>
      <c r="F404" s="26">
        <f>SUM(F405:F408)</f>
        <v>19226.72</v>
      </c>
      <c r="G404" s="26">
        <f>F404-E404</f>
        <v>-60159.28</v>
      </c>
      <c r="H404" s="26">
        <f>'[1]ammort.2022-23-24'!G19</f>
        <v>72708.2</v>
      </c>
      <c r="N404" s="26">
        <f>'[1]ammort.2022-23-24'!L67</f>
        <v>131921.97999999998</v>
      </c>
      <c r="O404" s="26">
        <f>'[1]ammort.2022-23-24'!Q67</f>
        <v>158921.97999999998</v>
      </c>
      <c r="P404" s="238"/>
    </row>
    <row r="405" spans="2:19" s="35" customFormat="1" x14ac:dyDescent="0.25">
      <c r="B405" s="209">
        <f t="shared" si="67"/>
        <v>167</v>
      </c>
      <c r="C405" s="196" t="s">
        <v>217</v>
      </c>
      <c r="D405" s="326">
        <v>0</v>
      </c>
      <c r="E405" s="198">
        <v>0</v>
      </c>
      <c r="F405" s="197">
        <v>0</v>
      </c>
      <c r="G405" s="197">
        <f>F405-E405</f>
        <v>0</v>
      </c>
      <c r="H405" s="197"/>
      <c r="I405" s="241" t="s">
        <v>95</v>
      </c>
      <c r="N405" s="197">
        <v>0</v>
      </c>
      <c r="O405" s="197">
        <v>0</v>
      </c>
      <c r="P405" s="199"/>
      <c r="S405" s="287"/>
    </row>
    <row r="406" spans="2:19" s="35" customFormat="1" x14ac:dyDescent="0.25">
      <c r="B406" s="209">
        <f t="shared" si="67"/>
        <v>168</v>
      </c>
      <c r="C406" s="196" t="s">
        <v>218</v>
      </c>
      <c r="D406" s="326">
        <v>596.25</v>
      </c>
      <c r="E406" s="198">
        <v>296</v>
      </c>
      <c r="F406" s="197">
        <v>296.25</v>
      </c>
      <c r="G406" s="197">
        <f t="shared" ref="G406:G408" si="69">F406-E406</f>
        <v>0.25</v>
      </c>
      <c r="H406" s="197"/>
      <c r="I406" s="241" t="s">
        <v>95</v>
      </c>
      <c r="N406" s="197">
        <f>'[1]ammort.2022-23-24'!R2</f>
        <v>0.2</v>
      </c>
      <c r="O406" s="197">
        <f>'[1]ammort.2022-23-24'!S2</f>
        <v>0.2</v>
      </c>
      <c r="P406" s="199"/>
      <c r="S406" s="287"/>
    </row>
    <row r="407" spans="2:19" s="35" customFormat="1" x14ac:dyDescent="0.25">
      <c r="B407" s="209">
        <f t="shared" si="67"/>
        <v>166</v>
      </c>
      <c r="C407" s="196" t="s">
        <v>219</v>
      </c>
      <c r="D407" s="326">
        <v>0</v>
      </c>
      <c r="E407" s="198">
        <v>54843</v>
      </c>
      <c r="F407" s="197">
        <v>0</v>
      </c>
      <c r="G407" s="197">
        <f t="shared" si="69"/>
        <v>-54843</v>
      </c>
      <c r="H407" s="197"/>
      <c r="I407" s="241" t="s">
        <v>95</v>
      </c>
      <c r="N407" s="197">
        <v>0</v>
      </c>
      <c r="O407" s="197">
        <v>0</v>
      </c>
      <c r="P407" s="199"/>
      <c r="S407" s="287"/>
    </row>
    <row r="408" spans="2:19" s="35" customFormat="1" x14ac:dyDescent="0.25">
      <c r="B408" s="209">
        <f t="shared" si="67"/>
        <v>167</v>
      </c>
      <c r="C408" s="196" t="s">
        <v>220</v>
      </c>
      <c r="D408" s="326">
        <v>18930.47</v>
      </c>
      <c r="E408" s="198">
        <v>24247</v>
      </c>
      <c r="F408" s="197">
        <v>18930.47</v>
      </c>
      <c r="G408" s="197">
        <f t="shared" si="69"/>
        <v>-5316.5299999999988</v>
      </c>
      <c r="H408" s="197"/>
      <c r="I408" s="241" t="s">
        <v>95</v>
      </c>
      <c r="N408" s="197">
        <f>'[1]ammort.2022-23-24'!R4</f>
        <v>0.2</v>
      </c>
      <c r="O408" s="197">
        <f>'[1]ammort.2022-23-24'!S4</f>
        <v>0.2</v>
      </c>
      <c r="P408" s="199"/>
      <c r="S408" s="287"/>
    </row>
    <row r="409" spans="2:19" ht="43.5" customHeight="1" x14ac:dyDescent="0.3">
      <c r="B409" s="231">
        <f t="shared" si="67"/>
        <v>168</v>
      </c>
      <c r="C409" s="30" t="s">
        <v>221</v>
      </c>
      <c r="D409" s="31">
        <v>34399</v>
      </c>
      <c r="E409" s="366">
        <f>SUM(E410:E411)</f>
        <v>34399</v>
      </c>
      <c r="F409" s="31">
        <f>SUM(F410:F411)</f>
        <v>34399</v>
      </c>
      <c r="G409" s="31">
        <f>F409-E409</f>
        <v>0</v>
      </c>
      <c r="H409" s="31">
        <f>'[1]ammort.2022-23-24'!G59</f>
        <v>34399</v>
      </c>
      <c r="I409" s="241" t="s">
        <v>95</v>
      </c>
      <c r="N409" s="31">
        <f>'[1]ammort.2022-23-24'!L68</f>
        <v>34399</v>
      </c>
      <c r="O409" s="31">
        <f>'[1]ammort.2022-23-24'!Q68</f>
        <v>34399</v>
      </c>
      <c r="P409" s="409"/>
    </row>
    <row r="410" spans="2:19" s="35" customFormat="1" ht="27" x14ac:dyDescent="0.25">
      <c r="B410" s="209">
        <f t="shared" si="67"/>
        <v>169</v>
      </c>
      <c r="C410" s="340" t="s">
        <v>223</v>
      </c>
      <c r="D410" s="410">
        <v>13290</v>
      </c>
      <c r="E410" s="411">
        <v>13290</v>
      </c>
      <c r="F410" s="385">
        <v>13290</v>
      </c>
      <c r="G410" s="385">
        <f>F410-E410</f>
        <v>0</v>
      </c>
      <c r="H410" s="385"/>
      <c r="I410" s="241" t="s">
        <v>95</v>
      </c>
      <c r="N410" s="385">
        <f>'[1]ammort.2022-23-24'!R57</f>
        <v>0</v>
      </c>
      <c r="O410" s="385">
        <f>'[1]ammort.2022-23-24'!S57</f>
        <v>0</v>
      </c>
      <c r="P410" s="412"/>
      <c r="S410" s="287"/>
    </row>
    <row r="411" spans="2:19" s="35" customFormat="1" ht="27" x14ac:dyDescent="0.25">
      <c r="B411" s="209">
        <f t="shared" si="67"/>
        <v>167</v>
      </c>
      <c r="C411" s="196" t="s">
        <v>222</v>
      </c>
      <c r="D411" s="326">
        <v>21109</v>
      </c>
      <c r="E411" s="198">
        <v>21109</v>
      </c>
      <c r="F411" s="197">
        <v>21109</v>
      </c>
      <c r="G411" s="385">
        <f>F411-E411</f>
        <v>0</v>
      </c>
      <c r="H411" s="197"/>
      <c r="I411" s="241" t="s">
        <v>95</v>
      </c>
      <c r="N411" s="197">
        <f>'[1]ammort.2022-23-24'!R58</f>
        <v>0</v>
      </c>
      <c r="O411" s="197">
        <f>'[1]ammort.2022-23-24'!S58</f>
        <v>0</v>
      </c>
      <c r="P411" s="199"/>
      <c r="S411" s="287"/>
    </row>
    <row r="412" spans="2:19" s="35" customFormat="1" ht="21.6" customHeight="1" x14ac:dyDescent="0.3">
      <c r="B412" s="209"/>
      <c r="C412" s="244" t="s">
        <v>967</v>
      </c>
      <c r="D412" s="413"/>
      <c r="E412" s="414"/>
      <c r="F412" s="413"/>
      <c r="G412" s="413"/>
      <c r="H412" s="413"/>
      <c r="I412" s="241" t="s">
        <v>95</v>
      </c>
      <c r="N412" s="413"/>
      <c r="O412" s="413"/>
      <c r="P412" s="393"/>
      <c r="S412" s="287"/>
    </row>
    <row r="413" spans="2:19" ht="18.75" x14ac:dyDescent="0.3">
      <c r="B413" s="231">
        <f>B408+1</f>
        <v>168</v>
      </c>
      <c r="C413" s="24" t="s">
        <v>224</v>
      </c>
      <c r="D413" s="17">
        <v>626700.98999999987</v>
      </c>
      <c r="E413" s="235">
        <f>SUM(E414+E434+E438)+2</f>
        <v>653626</v>
      </c>
      <c r="F413" s="17">
        <f>SUM(F414+F434+F438)</f>
        <v>635971.32999999996</v>
      </c>
      <c r="G413" s="17">
        <f>F413-E413</f>
        <v>-17654.670000000042</v>
      </c>
      <c r="H413" s="235">
        <f>SUM(H414+H434+H438)</f>
        <v>611795.10999999987</v>
      </c>
      <c r="I413" s="241" t="s">
        <v>95</v>
      </c>
      <c r="N413" s="235">
        <f>SUM(N414+N434+N438)</f>
        <v>501104.71</v>
      </c>
      <c r="O413" s="235">
        <f>SUM(O414+O434+O438)</f>
        <v>586992.17999999993</v>
      </c>
      <c r="P413" s="415"/>
    </row>
    <row r="414" spans="2:19" ht="16.5" x14ac:dyDescent="0.3">
      <c r="B414" s="231">
        <f>B409+1</f>
        <v>169</v>
      </c>
      <c r="C414" s="25" t="s">
        <v>225</v>
      </c>
      <c r="D414" s="26">
        <v>615983.27999999991</v>
      </c>
      <c r="E414" s="237">
        <f>SUM(E415:E433)</f>
        <v>647191</v>
      </c>
      <c r="F414" s="26">
        <f>SUM(F415:F433)</f>
        <v>622887.98</v>
      </c>
      <c r="G414" s="26">
        <f>F414-E414</f>
        <v>-24303.020000000019</v>
      </c>
      <c r="H414" s="26">
        <f>'[1]ammort.2022-23-24'!G53</f>
        <v>595895.41999999993</v>
      </c>
      <c r="I414" s="241" t="s">
        <v>95</v>
      </c>
      <c r="N414" s="26">
        <f>'[1]ammort.2022-23-24'!L72</f>
        <v>486363.01</v>
      </c>
      <c r="O414" s="26">
        <f>'[1]ammort.2022-23-24'!Q72</f>
        <v>572250.48</v>
      </c>
      <c r="P414" s="238"/>
    </row>
    <row r="415" spans="2:19" x14ac:dyDescent="0.25">
      <c r="B415" s="231">
        <f>B413+1</f>
        <v>169</v>
      </c>
      <c r="C415" s="196" t="s">
        <v>228</v>
      </c>
      <c r="D415" s="326">
        <v>1031.7</v>
      </c>
      <c r="E415" s="198">
        <v>2334</v>
      </c>
      <c r="F415" s="197">
        <v>906.7</v>
      </c>
      <c r="G415" s="197">
        <f>F415-E415</f>
        <v>-1427.3</v>
      </c>
      <c r="H415" s="197"/>
      <c r="I415" s="241" t="s">
        <v>95</v>
      </c>
      <c r="N415" s="197">
        <f>'[1]ammort.2022-23-24'!R21</f>
        <v>0.05</v>
      </c>
      <c r="O415" s="197">
        <f>'[1]ammort.2022-23-24'!S21</f>
        <v>0.1</v>
      </c>
      <c r="P415" s="199"/>
    </row>
    <row r="416" spans="2:19" x14ac:dyDescent="0.25">
      <c r="B416" s="231">
        <f>B414+1</f>
        <v>170</v>
      </c>
      <c r="C416" s="196" t="s">
        <v>229</v>
      </c>
      <c r="D416" s="326">
        <v>96200.22</v>
      </c>
      <c r="E416" s="198">
        <v>96200</v>
      </c>
      <c r="F416" s="197">
        <v>96200.22</v>
      </c>
      <c r="G416" s="197">
        <f t="shared" ref="G416:G433" si="70">F416-E416</f>
        <v>0.22000000000116415</v>
      </c>
      <c r="H416" s="197"/>
      <c r="I416" s="241" t="s">
        <v>95</v>
      </c>
      <c r="N416" s="197">
        <f>'[1]ammort.2022-23-24'!R24</f>
        <v>1.4999999999999999E-2</v>
      </c>
      <c r="O416" s="197">
        <f>'[1]ammort.2022-23-24'!S24</f>
        <v>0.03</v>
      </c>
      <c r="P416" s="199"/>
    </row>
    <row r="417" spans="2:16" customFormat="1" x14ac:dyDescent="0.25">
      <c r="B417" s="231">
        <f>B424+1</f>
        <v>171</v>
      </c>
      <c r="C417" s="196" t="s">
        <v>230</v>
      </c>
      <c r="D417" s="326">
        <v>4100.41</v>
      </c>
      <c r="E417" s="198">
        <v>4100</v>
      </c>
      <c r="F417" s="197">
        <v>4100.41</v>
      </c>
      <c r="G417" s="197">
        <f t="shared" si="70"/>
        <v>0.40999999999985448</v>
      </c>
      <c r="H417" s="197"/>
      <c r="I417" s="241" t="s">
        <v>95</v>
      </c>
      <c r="N417" s="197">
        <f>'[1]ammort.2022-23-24'!R25</f>
        <v>7.4999999999999997E-3</v>
      </c>
      <c r="O417" s="197">
        <f>'[1]ammort.2022-23-24'!S25</f>
        <v>1.4999999999999999E-2</v>
      </c>
      <c r="P417" s="199"/>
    </row>
    <row r="418" spans="2:16" customFormat="1" x14ac:dyDescent="0.25">
      <c r="B418" s="231">
        <f>B425+1</f>
        <v>169</v>
      </c>
      <c r="C418" s="196" t="s">
        <v>231</v>
      </c>
      <c r="D418" s="326">
        <v>58478.95</v>
      </c>
      <c r="E418" s="198">
        <v>58479</v>
      </c>
      <c r="F418" s="197">
        <v>58478.95</v>
      </c>
      <c r="G418" s="197">
        <f t="shared" si="70"/>
        <v>-5.0000000002910383E-2</v>
      </c>
      <c r="H418" s="197"/>
      <c r="I418" s="241" t="s">
        <v>95</v>
      </c>
      <c r="N418" s="197">
        <f>'[1]ammort.2022-23-24'!R26</f>
        <v>0.02</v>
      </c>
      <c r="O418" s="197">
        <f>'[1]ammort.2022-23-24'!S26</f>
        <v>0.04</v>
      </c>
      <c r="P418" s="199"/>
    </row>
    <row r="419" spans="2:16" customFormat="1" x14ac:dyDescent="0.25">
      <c r="B419" s="231">
        <f t="shared" si="67"/>
        <v>170</v>
      </c>
      <c r="C419" s="196" t="s">
        <v>232</v>
      </c>
      <c r="D419" s="326">
        <v>24958.29</v>
      </c>
      <c r="E419" s="198">
        <v>24958</v>
      </c>
      <c r="F419" s="197">
        <v>24958.29</v>
      </c>
      <c r="G419" s="197">
        <f t="shared" si="70"/>
        <v>0.29000000000087311</v>
      </c>
      <c r="H419" s="197"/>
      <c r="I419" s="241" t="s">
        <v>95</v>
      </c>
      <c r="N419" s="197">
        <f>'[1]ammort.2022-23-24'!R27</f>
        <v>7.4999999999999997E-3</v>
      </c>
      <c r="O419" s="197">
        <f>'[1]ammort.2022-23-24'!S27</f>
        <v>1.4999999999999999E-2</v>
      </c>
      <c r="P419" s="199"/>
    </row>
    <row r="420" spans="2:16" customFormat="1" x14ac:dyDescent="0.25">
      <c r="B420" s="231">
        <f t="shared" si="67"/>
        <v>171</v>
      </c>
      <c r="C420" s="196" t="s">
        <v>233</v>
      </c>
      <c r="D420" s="326">
        <v>67787.47</v>
      </c>
      <c r="E420" s="198">
        <v>67787</v>
      </c>
      <c r="F420" s="197">
        <v>67787.47</v>
      </c>
      <c r="G420" s="197">
        <f t="shared" si="70"/>
        <v>0.47000000000116415</v>
      </c>
      <c r="H420" s="197"/>
      <c r="I420" s="241" t="s">
        <v>95</v>
      </c>
      <c r="N420" s="197">
        <f>'[1]ammort.2022-23-24'!R28</f>
        <v>8.0999999999999996E-3</v>
      </c>
      <c r="O420" s="197">
        <f>'[1]ammort.2022-23-24'!S28</f>
        <v>1.6199999999999999E-2</v>
      </c>
      <c r="P420" s="199"/>
    </row>
    <row r="421" spans="2:16" customFormat="1" x14ac:dyDescent="0.25">
      <c r="B421" s="231">
        <f t="shared" si="67"/>
        <v>172</v>
      </c>
      <c r="C421" s="196" t="s">
        <v>234</v>
      </c>
      <c r="D421" s="326">
        <v>11847.75</v>
      </c>
      <c r="E421" s="198">
        <v>11848</v>
      </c>
      <c r="F421" s="197">
        <v>11847.75</v>
      </c>
      <c r="G421" s="197">
        <f t="shared" si="70"/>
        <v>-0.25</v>
      </c>
      <c r="H421" s="197"/>
      <c r="I421" s="241" t="s">
        <v>95</v>
      </c>
      <c r="N421" s="197">
        <f>'[1]ammort.2022-23-24'!R29</f>
        <v>1.4999999999999999E-2</v>
      </c>
      <c r="O421" s="197">
        <f>'[1]ammort.2022-23-24'!S29</f>
        <v>0.03</v>
      </c>
      <c r="P421" s="199"/>
    </row>
    <row r="422" spans="2:16" customFormat="1" x14ac:dyDescent="0.25">
      <c r="B422" s="231">
        <f t="shared" si="67"/>
        <v>170</v>
      </c>
      <c r="C422" s="196" t="s">
        <v>235</v>
      </c>
      <c r="D422" s="326">
        <v>70244.37</v>
      </c>
      <c r="E422" s="198">
        <v>70244</v>
      </c>
      <c r="F422" s="197">
        <v>70244.37</v>
      </c>
      <c r="G422" s="197">
        <f t="shared" si="70"/>
        <v>0.36999999999534339</v>
      </c>
      <c r="H422" s="197"/>
      <c r="I422" s="241" t="s">
        <v>95</v>
      </c>
      <c r="N422" s="197">
        <f>'[1]ammort.2022-23-24'!R30</f>
        <v>1.4999999999999999E-2</v>
      </c>
      <c r="O422" s="197">
        <f>'[1]ammort.2022-23-24'!S30</f>
        <v>0.03</v>
      </c>
      <c r="P422" s="199"/>
    </row>
    <row r="423" spans="2:16" customFormat="1" x14ac:dyDescent="0.25">
      <c r="B423" s="231">
        <f t="shared" si="67"/>
        <v>171</v>
      </c>
      <c r="C423" s="196" t="s">
        <v>236</v>
      </c>
      <c r="D423" s="326">
        <v>0</v>
      </c>
      <c r="E423" s="198">
        <v>469</v>
      </c>
      <c r="F423" s="197">
        <v>0</v>
      </c>
      <c r="G423" s="197">
        <f t="shared" si="70"/>
        <v>-469</v>
      </c>
      <c r="H423" s="197"/>
      <c r="I423" s="241" t="s">
        <v>95</v>
      </c>
      <c r="N423" s="197">
        <f>'[1]ammort.2022-23-24'!Q32</f>
        <v>67787.47</v>
      </c>
      <c r="O423" s="197">
        <f>'[1]ammort.2022-23-24'!R32</f>
        <v>0</v>
      </c>
      <c r="P423" s="199"/>
    </row>
    <row r="424" spans="2:16" customFormat="1" x14ac:dyDescent="0.25">
      <c r="B424" s="231">
        <f>B410+1</f>
        <v>170</v>
      </c>
      <c r="C424" s="196" t="s">
        <v>226</v>
      </c>
      <c r="D424" s="326">
        <v>190385.79</v>
      </c>
      <c r="E424" s="198">
        <v>206370</v>
      </c>
      <c r="F424" s="197">
        <v>192496.92</v>
      </c>
      <c r="G424" s="197">
        <f t="shared" si="70"/>
        <v>-13873.079999999987</v>
      </c>
      <c r="H424" s="197"/>
      <c r="I424" s="241" t="s">
        <v>95</v>
      </c>
      <c r="N424" s="197">
        <f>'[1]ammort.2022-23-24'!R33</f>
        <v>7.4999999999999997E-2</v>
      </c>
      <c r="O424" s="197">
        <f>'[1]ammort.2022-23-24'!S33</f>
        <v>0.15</v>
      </c>
      <c r="P424" s="199"/>
    </row>
    <row r="425" spans="2:16" customFormat="1" x14ac:dyDescent="0.25">
      <c r="B425" s="231">
        <f>B411+1</f>
        <v>168</v>
      </c>
      <c r="C425" s="196" t="s">
        <v>227</v>
      </c>
      <c r="D425" s="326">
        <v>37881.949999999997</v>
      </c>
      <c r="E425" s="198">
        <v>37882</v>
      </c>
      <c r="F425" s="197">
        <v>37881.949999999997</v>
      </c>
      <c r="G425" s="197">
        <f t="shared" si="70"/>
        <v>-5.0000000002910383E-2</v>
      </c>
      <c r="H425" s="197"/>
      <c r="I425" s="241" t="s">
        <v>95</v>
      </c>
      <c r="N425" s="197">
        <f>'[1]ammort.2022-23-24'!R37</f>
        <v>7.4999999999999997E-2</v>
      </c>
      <c r="O425" s="197">
        <f>'[1]ammort.2022-23-24'!S37</f>
        <v>0.15</v>
      </c>
      <c r="P425" s="199"/>
    </row>
    <row r="426" spans="2:16" customFormat="1" x14ac:dyDescent="0.25">
      <c r="B426" s="231">
        <f>B420+1</f>
        <v>172</v>
      </c>
      <c r="C426" s="196" t="s">
        <v>237</v>
      </c>
      <c r="D426" s="326">
        <v>2675</v>
      </c>
      <c r="E426" s="198">
        <v>4382</v>
      </c>
      <c r="F426" s="197">
        <v>2675</v>
      </c>
      <c r="G426" s="197">
        <f t="shared" si="70"/>
        <v>-1707</v>
      </c>
      <c r="H426" s="197"/>
      <c r="I426" s="241" t="s">
        <v>95</v>
      </c>
      <c r="N426" s="197">
        <f>'[1]ammort.2022-23-24'!R38</f>
        <v>0.125</v>
      </c>
      <c r="O426" s="197">
        <f>'[1]ammort.2022-23-24'!S38</f>
        <v>0.25</v>
      </c>
      <c r="P426" s="199"/>
    </row>
    <row r="427" spans="2:16" customFormat="1" x14ac:dyDescent="0.25">
      <c r="B427" s="231">
        <f>B421+1</f>
        <v>173</v>
      </c>
      <c r="C427" s="196" t="s">
        <v>238</v>
      </c>
      <c r="D427" s="326">
        <v>11215.37</v>
      </c>
      <c r="E427" s="198">
        <v>10160</v>
      </c>
      <c r="F427" s="197">
        <v>11215.37</v>
      </c>
      <c r="G427" s="197">
        <f t="shared" si="70"/>
        <v>1055.3700000000008</v>
      </c>
      <c r="H427" s="197"/>
      <c r="I427" s="241" t="s">
        <v>95</v>
      </c>
      <c r="N427" s="197">
        <f>'[1]ammort.2022-23-24'!R42</f>
        <v>7.4999999999999997E-2</v>
      </c>
      <c r="O427" s="197">
        <f>'[1]ammort.2022-23-24'!S42</f>
        <v>0.15</v>
      </c>
      <c r="P427" s="199"/>
    </row>
    <row r="428" spans="2:16" customFormat="1" x14ac:dyDescent="0.25">
      <c r="B428" s="231">
        <f>B422+1</f>
        <v>171</v>
      </c>
      <c r="C428" s="196" t="s">
        <v>239</v>
      </c>
      <c r="D428" s="326">
        <v>4079.5</v>
      </c>
      <c r="E428" s="198">
        <v>5821</v>
      </c>
      <c r="F428" s="197">
        <v>4238.13</v>
      </c>
      <c r="G428" s="197">
        <f t="shared" si="70"/>
        <v>-1582.87</v>
      </c>
      <c r="H428" s="197"/>
      <c r="I428" s="241" t="s">
        <v>95</v>
      </c>
      <c r="N428" s="197">
        <f>'[1]ammort.2022-23-24'!R44</f>
        <v>7.4999999999999997E-2</v>
      </c>
      <c r="O428" s="197">
        <f>'[1]ammort.2022-23-24'!S44</f>
        <v>0.15</v>
      </c>
      <c r="P428" s="199"/>
    </row>
    <row r="429" spans="2:16" customFormat="1" x14ac:dyDescent="0.25">
      <c r="B429" s="231">
        <f>B423+1</f>
        <v>172</v>
      </c>
      <c r="C429" s="196" t="s">
        <v>240</v>
      </c>
      <c r="D429" s="326">
        <v>25557.35</v>
      </c>
      <c r="E429" s="198">
        <v>30817</v>
      </c>
      <c r="F429" s="197">
        <v>25605.38</v>
      </c>
      <c r="G429" s="197">
        <f t="shared" si="70"/>
        <v>-5211.619999999999</v>
      </c>
      <c r="H429" s="197"/>
      <c r="I429" s="241" t="s">
        <v>95</v>
      </c>
      <c r="N429" s="197">
        <f>'[1]ammort.2022-23-24'!R45</f>
        <v>0.1</v>
      </c>
      <c r="O429" s="197">
        <f>'[1]ammort.2022-23-24'!S45</f>
        <v>0.2</v>
      </c>
      <c r="P429" s="199"/>
    </row>
    <row r="430" spans="2:16" customFormat="1" x14ac:dyDescent="0.25">
      <c r="B430" s="231">
        <f t="shared" si="67"/>
        <v>173</v>
      </c>
      <c r="C430" s="196" t="s">
        <v>241</v>
      </c>
      <c r="D430" s="326">
        <v>1003.22</v>
      </c>
      <c r="E430" s="198">
        <v>6119</v>
      </c>
      <c r="F430" s="197">
        <v>4455.4799999999996</v>
      </c>
      <c r="G430" s="197">
        <f t="shared" si="70"/>
        <v>-1663.5200000000004</v>
      </c>
      <c r="H430" s="197"/>
      <c r="I430" s="241" t="s">
        <v>95</v>
      </c>
      <c r="N430" s="197">
        <f>'[1]ammort.2022-23-24'!R46</f>
        <v>0.1</v>
      </c>
      <c r="O430" s="197">
        <f>'[1]ammort.2022-23-24'!S46</f>
        <v>0.2</v>
      </c>
      <c r="P430" s="199"/>
    </row>
    <row r="431" spans="2:16" customFormat="1" x14ac:dyDescent="0.25">
      <c r="B431" s="231">
        <f t="shared" si="67"/>
        <v>174</v>
      </c>
      <c r="C431" s="196" t="s">
        <v>242</v>
      </c>
      <c r="D431" s="326">
        <v>8025.94</v>
      </c>
      <c r="E431" s="198">
        <v>8096</v>
      </c>
      <c r="F431" s="197">
        <v>8025.94</v>
      </c>
      <c r="G431" s="197">
        <f t="shared" si="70"/>
        <v>-70.0600000000004</v>
      </c>
      <c r="H431" s="197"/>
      <c r="I431" s="241" t="s">
        <v>95</v>
      </c>
      <c r="N431" s="197">
        <f>'[1]ammort.2022-23-24'!R47</f>
        <v>0.02</v>
      </c>
      <c r="O431" s="197">
        <f>'[1]ammort.2022-23-24'!S47</f>
        <v>0.04</v>
      </c>
      <c r="P431" s="199"/>
    </row>
    <row r="432" spans="2:16" customFormat="1" x14ac:dyDescent="0.25">
      <c r="B432" s="231">
        <f t="shared" si="67"/>
        <v>172</v>
      </c>
      <c r="C432" s="196" t="s">
        <v>243</v>
      </c>
      <c r="D432" s="326">
        <v>510</v>
      </c>
      <c r="E432" s="198">
        <v>1125</v>
      </c>
      <c r="F432" s="197">
        <v>510</v>
      </c>
      <c r="G432" s="197">
        <f t="shared" si="70"/>
        <v>-615</v>
      </c>
      <c r="H432" s="197"/>
      <c r="I432" s="241" t="s">
        <v>95</v>
      </c>
      <c r="N432" s="197">
        <f>'[1]ammort.2022-23-24'!R51</f>
        <v>0.1</v>
      </c>
      <c r="O432" s="197">
        <f>'[1]ammort.2022-23-24'!S51</f>
        <v>0.2</v>
      </c>
      <c r="P432" s="199"/>
    </row>
    <row r="433" spans="2:16" ht="27" x14ac:dyDescent="0.25">
      <c r="B433" s="231"/>
      <c r="C433" s="196" t="s">
        <v>968</v>
      </c>
      <c r="D433" s="326"/>
      <c r="E433" s="198"/>
      <c r="F433" s="197">
        <v>1259.6500000000001</v>
      </c>
      <c r="G433" s="197">
        <f t="shared" si="70"/>
        <v>1259.6500000000001</v>
      </c>
      <c r="H433" s="197"/>
      <c r="I433" s="241"/>
      <c r="N433" s="197"/>
      <c r="O433" s="197"/>
      <c r="P433" s="199"/>
    </row>
    <row r="434" spans="2:16" ht="16.5" x14ac:dyDescent="0.3">
      <c r="B434" s="231">
        <f>B429+1</f>
        <v>173</v>
      </c>
      <c r="C434" s="30" t="s">
        <v>969</v>
      </c>
      <c r="D434" s="31">
        <v>10717.71</v>
      </c>
      <c r="E434" s="366">
        <f>SUM(E435:E437)</f>
        <v>6433</v>
      </c>
      <c r="F434" s="31">
        <f>SUM(F435:F437)</f>
        <v>13083.349999999999</v>
      </c>
      <c r="G434" s="31">
        <f>F434-E434</f>
        <v>6650.3499999999985</v>
      </c>
      <c r="H434" s="31">
        <f>'[1]ammort.2022-23-24'!G64</f>
        <v>15700.34</v>
      </c>
      <c r="I434" s="241" t="s">
        <v>95</v>
      </c>
      <c r="N434" s="31">
        <f>'[1]ammort.2022-23-24'!L73</f>
        <v>14343</v>
      </c>
      <c r="O434" s="31">
        <f>'[1]ammort.2022-23-24'!Q73</f>
        <v>14343</v>
      </c>
      <c r="P434" s="409"/>
    </row>
    <row r="435" spans="2:16" x14ac:dyDescent="0.25">
      <c r="B435" s="231">
        <f>B430+1</f>
        <v>174</v>
      </c>
      <c r="C435" s="196" t="s">
        <v>244</v>
      </c>
      <c r="D435" s="326">
        <v>2650.56</v>
      </c>
      <c r="E435" s="198">
        <v>2399</v>
      </c>
      <c r="F435" s="197">
        <v>5016.2</v>
      </c>
      <c r="G435" s="197">
        <f>F435-E435</f>
        <v>2617.1999999999998</v>
      </c>
      <c r="H435" s="197"/>
      <c r="I435" s="241" t="s">
        <v>95</v>
      </c>
      <c r="N435" s="197">
        <f>'[1]ammort.2022-23-24'!R61</f>
        <v>0</v>
      </c>
      <c r="O435" s="197">
        <f>'[1]ammort.2022-23-24'!S61</f>
        <v>0</v>
      </c>
      <c r="P435" s="199"/>
    </row>
    <row r="436" spans="2:16" ht="27" x14ac:dyDescent="0.25">
      <c r="B436" s="231">
        <f>B431+1</f>
        <v>175</v>
      </c>
      <c r="C436" s="196" t="s">
        <v>245</v>
      </c>
      <c r="D436" s="326">
        <v>6366.15</v>
      </c>
      <c r="E436" s="198">
        <v>3183</v>
      </c>
      <c r="F436" s="197">
        <v>6366.15</v>
      </c>
      <c r="G436" s="197">
        <f t="shared" ref="G436:G437" si="71">F436-E436</f>
        <v>3183.1499999999996</v>
      </c>
      <c r="H436" s="197"/>
      <c r="I436" s="241" t="s">
        <v>95</v>
      </c>
      <c r="N436" s="197">
        <f>'[1]ammort.2022-23-24'!R62</f>
        <v>0</v>
      </c>
      <c r="O436" s="197">
        <f>'[1]ammort.2022-23-24'!S62</f>
        <v>0</v>
      </c>
      <c r="P436" s="199"/>
    </row>
    <row r="437" spans="2:16" x14ac:dyDescent="0.25">
      <c r="B437" s="231">
        <f>B432+1</f>
        <v>173</v>
      </c>
      <c r="C437" s="196" t="s">
        <v>246</v>
      </c>
      <c r="D437" s="326">
        <v>1701</v>
      </c>
      <c r="E437" s="198">
        <v>851</v>
      </c>
      <c r="F437" s="197">
        <v>1701</v>
      </c>
      <c r="G437" s="197">
        <f t="shared" si="71"/>
        <v>850</v>
      </c>
      <c r="H437" s="197"/>
      <c r="I437" s="241" t="s">
        <v>95</v>
      </c>
      <c r="N437" s="197">
        <f>'[1]ammort.2022-23-24'!R63</f>
        <v>0</v>
      </c>
      <c r="O437" s="197">
        <f>'[1]ammort.2022-23-24'!S63</f>
        <v>0</v>
      </c>
      <c r="P437" s="199"/>
    </row>
    <row r="438" spans="2:16" ht="16.5" x14ac:dyDescent="0.3">
      <c r="B438" s="231"/>
      <c r="C438" s="244" t="s">
        <v>970</v>
      </c>
      <c r="D438" s="413"/>
      <c r="E438" s="414"/>
      <c r="F438" s="413"/>
      <c r="G438" s="413"/>
      <c r="H438" s="413">
        <f>'[1]previsione SMS 22-23-24'!B33</f>
        <v>199.35</v>
      </c>
      <c r="I438" s="241" t="s">
        <v>95</v>
      </c>
      <c r="N438" s="413">
        <f>'[1]ammort.2022-23-24'!L74</f>
        <v>398.7</v>
      </c>
      <c r="O438" s="413">
        <f>'[1]ammort.2022-23-24'!Q74</f>
        <v>398.7</v>
      </c>
      <c r="P438" s="393"/>
    </row>
    <row r="439" spans="2:16" ht="16.5" x14ac:dyDescent="0.3">
      <c r="B439" s="231"/>
      <c r="C439" s="250"/>
      <c r="D439" s="416"/>
      <c r="E439" s="417"/>
      <c r="F439" s="416"/>
      <c r="G439" s="416"/>
      <c r="H439" s="416"/>
      <c r="N439" s="416"/>
      <c r="O439" s="416"/>
      <c r="P439" s="418"/>
    </row>
    <row r="440" spans="2:16" ht="16.5" x14ac:dyDescent="0.3">
      <c r="B440" s="231"/>
      <c r="C440" s="250"/>
      <c r="D440" s="416"/>
      <c r="E440" s="417"/>
      <c r="F440" s="416"/>
      <c r="G440" s="416"/>
      <c r="H440" s="416"/>
      <c r="N440" s="416"/>
      <c r="O440" s="416"/>
      <c r="P440" s="418"/>
    </row>
    <row r="441" spans="2:16" ht="16.5" x14ac:dyDescent="0.3">
      <c r="B441" s="231"/>
      <c r="C441" s="250"/>
      <c r="D441" s="416"/>
      <c r="E441" s="417"/>
      <c r="F441" s="416"/>
      <c r="G441" s="416"/>
      <c r="H441" s="416"/>
      <c r="N441" s="416"/>
      <c r="O441" s="416"/>
      <c r="P441" s="418"/>
    </row>
    <row r="442" spans="2:16" ht="16.5" x14ac:dyDescent="0.3">
      <c r="B442" s="231"/>
      <c r="C442" s="250"/>
      <c r="D442" s="416"/>
      <c r="E442" s="417"/>
      <c r="F442" s="416"/>
      <c r="G442" s="416"/>
      <c r="H442" s="416"/>
      <c r="N442" s="416"/>
      <c r="O442" s="416"/>
      <c r="P442" s="418"/>
    </row>
    <row r="443" spans="2:16" ht="18.75" x14ac:dyDescent="0.3">
      <c r="B443" s="231">
        <f>B434+1</f>
        <v>174</v>
      </c>
      <c r="C443" s="16" t="s">
        <v>247</v>
      </c>
      <c r="D443" s="41">
        <v>680626.70999999985</v>
      </c>
      <c r="E443" s="233">
        <f>E403+E413+1</f>
        <v>767412</v>
      </c>
      <c r="F443" s="41">
        <f>F403+F413</f>
        <v>689597.04999999993</v>
      </c>
      <c r="G443" s="41">
        <f>F443-E443</f>
        <v>-77814.95000000007</v>
      </c>
      <c r="H443" s="41">
        <f>H403+H413</f>
        <v>718902.30999999982</v>
      </c>
      <c r="N443" s="41">
        <f>N403+N413</f>
        <v>667425.68999999994</v>
      </c>
      <c r="O443" s="41">
        <f>O403+O413</f>
        <v>780313.15999999992</v>
      </c>
      <c r="P443" s="234"/>
    </row>
    <row r="444" spans="2:16" x14ac:dyDescent="0.25">
      <c r="B444" s="231">
        <f>B435+1</f>
        <v>175</v>
      </c>
      <c r="C444" s="5"/>
      <c r="D444" s="7"/>
      <c r="E444" s="162"/>
      <c r="F444" s="7"/>
      <c r="G444" s="7"/>
      <c r="H444" s="7"/>
      <c r="N444" s="7"/>
      <c r="O444" s="7"/>
      <c r="P444" s="163"/>
    </row>
    <row r="445" spans="2:16" ht="16.5" x14ac:dyDescent="0.3">
      <c r="B445" s="231">
        <f>B436+1</f>
        <v>176</v>
      </c>
      <c r="C445" s="33" t="s">
        <v>248</v>
      </c>
      <c r="D445" s="12">
        <v>3859.3300000000017</v>
      </c>
      <c r="E445" s="419">
        <f>SUM(E447:E448)</f>
        <v>-3505</v>
      </c>
      <c r="F445" s="12">
        <f>SUM(F447:F448)</f>
        <v>5678.2000000000007</v>
      </c>
      <c r="G445" s="12">
        <f>F445-E445</f>
        <v>9183.2000000000007</v>
      </c>
      <c r="H445" s="12">
        <f>SUM(H447:H448)</f>
        <v>5678.2000000000007</v>
      </c>
      <c r="I445" s="19" t="s">
        <v>41</v>
      </c>
      <c r="N445" s="12">
        <f>SUM(N447:N448)</f>
        <v>4686.3300000000017</v>
      </c>
      <c r="O445" s="12">
        <f>SUM(O447:O448)</f>
        <v>4686.3300000000017</v>
      </c>
      <c r="P445" s="420"/>
    </row>
    <row r="446" spans="2:16" ht="27" x14ac:dyDescent="0.25">
      <c r="B446" s="231">
        <f>B437+1</f>
        <v>174</v>
      </c>
      <c r="C446" s="53" t="s">
        <v>249</v>
      </c>
      <c r="D446" s="421"/>
      <c r="E446" s="422"/>
      <c r="F446" s="423"/>
      <c r="G446" s="423"/>
      <c r="H446" s="421"/>
      <c r="I446" s="19" t="s">
        <v>41</v>
      </c>
      <c r="N446" s="421"/>
      <c r="O446" s="421"/>
      <c r="P446" s="421"/>
    </row>
    <row r="447" spans="2:16" x14ac:dyDescent="0.25">
      <c r="B447" s="231">
        <f t="shared" si="67"/>
        <v>175</v>
      </c>
      <c r="C447" s="53" t="s">
        <v>250</v>
      </c>
      <c r="D447" s="424">
        <v>25686.33</v>
      </c>
      <c r="E447" s="381">
        <v>22181</v>
      </c>
      <c r="F447" s="54">
        <v>25686.33</v>
      </c>
      <c r="G447" s="54">
        <f>F447-E447</f>
        <v>3505.3300000000017</v>
      </c>
      <c r="H447" s="424">
        <v>25686.33</v>
      </c>
      <c r="I447" s="19" t="s">
        <v>41</v>
      </c>
      <c r="N447" s="424">
        <v>25686.33</v>
      </c>
      <c r="O447" s="424">
        <v>25686.33</v>
      </c>
      <c r="P447" s="425"/>
    </row>
    <row r="448" spans="2:16" x14ac:dyDescent="0.25">
      <c r="B448" s="231">
        <f t="shared" si="67"/>
        <v>176</v>
      </c>
      <c r="C448" s="53" t="s">
        <v>251</v>
      </c>
      <c r="D448" s="426">
        <v>-21827</v>
      </c>
      <c r="E448" s="239">
        <v>-25686</v>
      </c>
      <c r="F448" s="52">
        <v>-20008.13</v>
      </c>
      <c r="G448" s="52">
        <f>F448-E448</f>
        <v>5677.869999999999</v>
      </c>
      <c r="H448" s="426">
        <f>F448</f>
        <v>-20008.13</v>
      </c>
      <c r="I448" s="19" t="s">
        <v>41</v>
      </c>
      <c r="N448" s="426">
        <v>-21000</v>
      </c>
      <c r="O448" s="426">
        <v>-21000</v>
      </c>
      <c r="P448" s="427"/>
    </row>
    <row r="449" spans="2:17" x14ac:dyDescent="0.25">
      <c r="B449" s="231">
        <f t="shared" si="67"/>
        <v>177</v>
      </c>
      <c r="C449" s="5"/>
      <c r="D449" s="7"/>
      <c r="E449" s="162"/>
      <c r="F449" s="7"/>
      <c r="G449" s="7"/>
      <c r="H449" s="7"/>
      <c r="I449" s="19" t="s">
        <v>41</v>
      </c>
      <c r="N449" s="7"/>
      <c r="O449" s="7"/>
      <c r="P449" s="163"/>
    </row>
    <row r="450" spans="2:17" x14ac:dyDescent="0.25">
      <c r="B450" s="231"/>
      <c r="C450" s="13" t="s">
        <v>971</v>
      </c>
      <c r="D450" s="14"/>
      <c r="E450" s="428">
        <f>E451+E455</f>
        <v>100000</v>
      </c>
      <c r="F450" s="14">
        <f>F451+F455</f>
        <v>215780.49000000002</v>
      </c>
      <c r="G450" s="14">
        <f>F450-E450</f>
        <v>115780.49000000002</v>
      </c>
      <c r="H450" s="428">
        <f>H451+H455</f>
        <v>170000</v>
      </c>
      <c r="I450" s="19"/>
      <c r="N450" s="428">
        <f>N451+N455</f>
        <v>100000</v>
      </c>
      <c r="O450" s="428">
        <f>O451+O455</f>
        <v>100000</v>
      </c>
      <c r="P450" s="429"/>
    </row>
    <row r="451" spans="2:17" x14ac:dyDescent="0.25">
      <c r="B451" s="231"/>
      <c r="C451" s="430" t="s">
        <v>972</v>
      </c>
      <c r="D451" s="431"/>
      <c r="E451" s="432">
        <f>SUM(E452+E453+E454)</f>
        <v>100000</v>
      </c>
      <c r="F451" s="431">
        <f>SUM(F452+F453+F454)</f>
        <v>165024.01</v>
      </c>
      <c r="G451" s="431">
        <f>F451-E451</f>
        <v>65024.010000000009</v>
      </c>
      <c r="H451" s="432">
        <f>SUM(H452+H453+H454)</f>
        <v>170000</v>
      </c>
      <c r="I451" s="19"/>
      <c r="N451" s="432">
        <f>SUM(N452+N453+N454)</f>
        <v>100000</v>
      </c>
      <c r="O451" s="432">
        <f>SUM(O452+O453+O454)</f>
        <v>100000</v>
      </c>
      <c r="P451" s="433"/>
    </row>
    <row r="452" spans="2:17" ht="33" x14ac:dyDescent="0.3">
      <c r="B452" s="231">
        <f>B446+1</f>
        <v>175</v>
      </c>
      <c r="C452" s="250" t="s">
        <v>252</v>
      </c>
      <c r="D452" s="416">
        <v>100000</v>
      </c>
      <c r="E452" s="417">
        <v>100000</v>
      </c>
      <c r="F452" s="416">
        <v>100000</v>
      </c>
      <c r="G452" s="416">
        <f>F452-E452</f>
        <v>0</v>
      </c>
      <c r="H452" s="416">
        <v>100000</v>
      </c>
      <c r="I452" s="19" t="s">
        <v>41</v>
      </c>
      <c r="N452" s="416">
        <v>100000</v>
      </c>
      <c r="O452" s="416">
        <v>100000</v>
      </c>
      <c r="P452" s="418"/>
    </row>
    <row r="453" spans="2:17" ht="33" x14ac:dyDescent="0.3">
      <c r="B453" s="231"/>
      <c r="C453" s="250" t="s">
        <v>973</v>
      </c>
      <c r="D453" s="434"/>
      <c r="E453" s="435"/>
      <c r="F453" s="434">
        <v>35000</v>
      </c>
      <c r="G453" s="416">
        <f t="shared" ref="G453:G454" si="72">F453-E453</f>
        <v>35000</v>
      </c>
      <c r="H453" s="436">
        <v>70000</v>
      </c>
      <c r="I453" s="19"/>
      <c r="N453" s="434"/>
      <c r="O453" s="434"/>
      <c r="P453" s="418"/>
      <c r="Q453" t="s">
        <v>974</v>
      </c>
    </row>
    <row r="454" spans="2:17" ht="18.75" x14ac:dyDescent="0.3">
      <c r="B454" s="231"/>
      <c r="C454" s="437" t="s">
        <v>975</v>
      </c>
      <c r="D454" s="438"/>
      <c r="E454" s="439"/>
      <c r="F454" s="438">
        <v>30024.01</v>
      </c>
      <c r="G454" s="416">
        <f t="shared" si="72"/>
        <v>30024.01</v>
      </c>
      <c r="H454" s="440"/>
      <c r="I454" s="19"/>
      <c r="N454" s="440"/>
      <c r="O454" s="440"/>
      <c r="P454" s="441"/>
    </row>
    <row r="455" spans="2:17" x14ac:dyDescent="0.25">
      <c r="B455" s="231"/>
      <c r="C455" s="10" t="s">
        <v>976</v>
      </c>
      <c r="D455" s="11"/>
      <c r="E455" s="442">
        <f>SUM(E456:E457)</f>
        <v>0</v>
      </c>
      <c r="F455" s="11">
        <f>SUM(F456:F457)</f>
        <v>50756.480000000003</v>
      </c>
      <c r="G455" s="11">
        <f>F455-E455</f>
        <v>50756.480000000003</v>
      </c>
      <c r="H455" s="442">
        <f t="shared" ref="H455:O455" si="73">SUM(H456:H457)</f>
        <v>0</v>
      </c>
      <c r="I455" s="442">
        <f t="shared" si="73"/>
        <v>0</v>
      </c>
      <c r="J455" s="442">
        <f t="shared" si="73"/>
        <v>0</v>
      </c>
      <c r="K455" s="442">
        <f t="shared" si="73"/>
        <v>0</v>
      </c>
      <c r="L455" s="442">
        <f t="shared" si="73"/>
        <v>0</v>
      </c>
      <c r="M455" s="442">
        <f t="shared" si="73"/>
        <v>0</v>
      </c>
      <c r="N455" s="442">
        <f t="shared" si="73"/>
        <v>0</v>
      </c>
      <c r="O455" s="442">
        <f t="shared" si="73"/>
        <v>0</v>
      </c>
      <c r="P455" s="443"/>
    </row>
    <row r="456" spans="2:17" ht="15.75" x14ac:dyDescent="0.25">
      <c r="B456" s="231"/>
      <c r="C456" s="437" t="s">
        <v>977</v>
      </c>
      <c r="D456" s="438"/>
      <c r="E456" s="439"/>
      <c r="F456" s="438">
        <v>15000</v>
      </c>
      <c r="G456" s="438">
        <f>F456-E456</f>
        <v>15000</v>
      </c>
      <c r="H456" s="438"/>
      <c r="I456" s="19"/>
      <c r="N456" s="438"/>
      <c r="O456" s="438"/>
      <c r="P456" s="444"/>
    </row>
    <row r="457" spans="2:17" ht="15.75" x14ac:dyDescent="0.25">
      <c r="B457" s="231"/>
      <c r="C457" s="437" t="s">
        <v>978</v>
      </c>
      <c r="D457" s="438"/>
      <c r="E457" s="439"/>
      <c r="F457" s="438">
        <v>35756.480000000003</v>
      </c>
      <c r="G457" s="438">
        <f t="shared" ref="G457:G458" si="74">F457-E457</f>
        <v>35756.480000000003</v>
      </c>
      <c r="H457" s="438"/>
      <c r="I457" s="19"/>
      <c r="N457" s="438"/>
      <c r="O457" s="438"/>
      <c r="P457" s="444"/>
    </row>
    <row r="458" spans="2:17" ht="15.75" x14ac:dyDescent="0.25">
      <c r="B458" s="231">
        <f>B447+1</f>
        <v>176</v>
      </c>
      <c r="C458" s="5"/>
      <c r="D458" s="7"/>
      <c r="E458" s="162"/>
      <c r="F458" s="7"/>
      <c r="G458" s="438">
        <f t="shared" si="74"/>
        <v>0</v>
      </c>
      <c r="H458" s="7"/>
      <c r="N458" s="7"/>
      <c r="O458" s="7"/>
      <c r="P458" s="163"/>
    </row>
    <row r="459" spans="2:17" ht="16.5" x14ac:dyDescent="0.3">
      <c r="B459" s="231">
        <f>B448+1</f>
        <v>177</v>
      </c>
      <c r="C459" s="33" t="s">
        <v>253</v>
      </c>
      <c r="D459" s="12">
        <v>279564.94</v>
      </c>
      <c r="E459" s="419">
        <f t="shared" ref="E459:F459" si="75">E460+E490</f>
        <v>323450</v>
      </c>
      <c r="F459" s="12">
        <f t="shared" si="75"/>
        <v>285769.60000000009</v>
      </c>
      <c r="G459" s="12">
        <f>F459-E459</f>
        <v>-37680.399999999907</v>
      </c>
      <c r="H459" s="12">
        <f>H460+H490+H500</f>
        <v>361040.7595000001</v>
      </c>
      <c r="I459" s="19" t="s">
        <v>41</v>
      </c>
      <c r="N459" s="12">
        <f>N460+N490+N500</f>
        <v>362540.7595000001</v>
      </c>
      <c r="O459" s="12">
        <f>O460+O490+O500</f>
        <v>363040.7595000001</v>
      </c>
      <c r="P459" s="420"/>
    </row>
    <row r="460" spans="2:17" ht="16.5" x14ac:dyDescent="0.3">
      <c r="B460" s="231">
        <f>B449+1</f>
        <v>178</v>
      </c>
      <c r="C460" s="25" t="s">
        <v>254</v>
      </c>
      <c r="D460" s="26">
        <v>270870.46000000002</v>
      </c>
      <c r="E460" s="237">
        <f>SUM(E461:E489)</f>
        <v>316940</v>
      </c>
      <c r="F460" s="26">
        <f>SUM(F461:F489)</f>
        <v>275795.77000000008</v>
      </c>
      <c r="G460" s="26">
        <f>F460-E460</f>
        <v>-41144.229999999923</v>
      </c>
      <c r="H460" s="26">
        <f>SUM(H462:H489)</f>
        <v>350312.77000000008</v>
      </c>
      <c r="I460" s="19" t="s">
        <v>41</v>
      </c>
      <c r="N460" s="26">
        <f>SUM(N462:N489)</f>
        <v>350312.77000000008</v>
      </c>
      <c r="O460" s="26">
        <f>SUM(O462:O489)</f>
        <v>350312.77000000008</v>
      </c>
      <c r="P460" s="238"/>
    </row>
    <row r="461" spans="2:17" x14ac:dyDescent="0.25">
      <c r="B461" s="231">
        <f>B452+1</f>
        <v>176</v>
      </c>
      <c r="C461" s="53" t="s">
        <v>255</v>
      </c>
      <c r="D461" s="426">
        <v>2</v>
      </c>
      <c r="E461" s="239">
        <v>2</v>
      </c>
      <c r="F461" s="52">
        <v>6</v>
      </c>
      <c r="G461" s="52">
        <f>F461-E461</f>
        <v>4</v>
      </c>
      <c r="H461" s="426">
        <f>F461</f>
        <v>6</v>
      </c>
      <c r="I461" s="19" t="s">
        <v>41</v>
      </c>
      <c r="N461" s="426">
        <v>6</v>
      </c>
      <c r="O461" s="426">
        <v>6</v>
      </c>
      <c r="P461" s="427"/>
    </row>
    <row r="462" spans="2:17" x14ac:dyDescent="0.25">
      <c r="B462" s="231">
        <f t="shared" ref="B462:B494" si="76">B458+1</f>
        <v>177</v>
      </c>
      <c r="C462" s="53" t="s">
        <v>979</v>
      </c>
      <c r="D462" s="426">
        <v>0</v>
      </c>
      <c r="E462" s="239">
        <v>0</v>
      </c>
      <c r="F462" s="52">
        <v>0</v>
      </c>
      <c r="G462" s="52">
        <f t="shared" ref="G462:G489" si="77">F462-E462</f>
        <v>0</v>
      </c>
      <c r="H462" s="426">
        <v>0</v>
      </c>
      <c r="I462" s="19" t="s">
        <v>41</v>
      </c>
      <c r="N462" s="426">
        <v>0</v>
      </c>
      <c r="O462" s="426">
        <v>0</v>
      </c>
      <c r="P462" s="427"/>
    </row>
    <row r="463" spans="2:17" x14ac:dyDescent="0.25">
      <c r="B463" s="231">
        <f t="shared" si="76"/>
        <v>178</v>
      </c>
      <c r="C463" s="53" t="s">
        <v>256</v>
      </c>
      <c r="D463" s="426">
        <v>0</v>
      </c>
      <c r="E463" s="239">
        <v>122</v>
      </c>
      <c r="F463" s="52">
        <v>0</v>
      </c>
      <c r="G463" s="52">
        <f t="shared" si="77"/>
        <v>-122</v>
      </c>
      <c r="H463" s="426">
        <f>'[1]84,05,20 IMPOSTA REGISTRO'!P1</f>
        <v>0</v>
      </c>
      <c r="I463" s="19" t="s">
        <v>41</v>
      </c>
      <c r="N463" s="426">
        <v>0</v>
      </c>
      <c r="O463" s="426">
        <v>0</v>
      </c>
      <c r="P463" s="427"/>
    </row>
    <row r="464" spans="2:17" x14ac:dyDescent="0.25">
      <c r="B464" s="231">
        <f t="shared" si="76"/>
        <v>179</v>
      </c>
      <c r="C464" s="53" t="s">
        <v>257</v>
      </c>
      <c r="D464" s="426">
        <v>1910</v>
      </c>
      <c r="E464" s="239">
        <v>2593</v>
      </c>
      <c r="F464" s="52">
        <v>1910</v>
      </c>
      <c r="G464" s="52">
        <f t="shared" si="77"/>
        <v>-683</v>
      </c>
      <c r="H464" s="426">
        <f>F464</f>
        <v>1910</v>
      </c>
      <c r="I464" s="19" t="s">
        <v>41</v>
      </c>
      <c r="N464" s="426">
        <v>1910</v>
      </c>
      <c r="O464" s="426">
        <v>1910</v>
      </c>
      <c r="P464" s="427"/>
    </row>
    <row r="465" spans="2:20" x14ac:dyDescent="0.25">
      <c r="B465" s="231">
        <f t="shared" si="76"/>
        <v>177</v>
      </c>
      <c r="C465" s="53" t="s">
        <v>258</v>
      </c>
      <c r="D465" s="426">
        <v>907</v>
      </c>
      <c r="E465" s="239">
        <v>407</v>
      </c>
      <c r="F465" s="52">
        <v>906.85</v>
      </c>
      <c r="G465" s="52">
        <f t="shared" si="77"/>
        <v>499.85</v>
      </c>
      <c r="H465" s="426">
        <f t="shared" ref="H465:H470" si="78">F465</f>
        <v>906.85</v>
      </c>
      <c r="I465" s="19" t="s">
        <v>41</v>
      </c>
      <c r="N465" s="426">
        <v>906.85</v>
      </c>
      <c r="O465" s="426">
        <v>906.85</v>
      </c>
      <c r="P465" s="427"/>
    </row>
    <row r="466" spans="2:20" x14ac:dyDescent="0.25">
      <c r="B466" s="231">
        <f t="shared" si="76"/>
        <v>178</v>
      </c>
      <c r="C466" s="53" t="s">
        <v>259</v>
      </c>
      <c r="D466" s="426">
        <v>1462</v>
      </c>
      <c r="E466" s="239">
        <v>1691</v>
      </c>
      <c r="F466" s="52">
        <v>4552.2299999999996</v>
      </c>
      <c r="G466" s="52">
        <f t="shared" si="77"/>
        <v>2861.2299999999996</v>
      </c>
      <c r="H466" s="426">
        <f t="shared" si="78"/>
        <v>4552.2299999999996</v>
      </c>
      <c r="I466" s="19" t="s">
        <v>41</v>
      </c>
      <c r="N466" s="426">
        <v>4552.2299999999996</v>
      </c>
      <c r="O466" s="426">
        <v>4552.2299999999996</v>
      </c>
      <c r="P466" s="427"/>
    </row>
    <row r="467" spans="2:20" ht="15.75" customHeight="1" x14ac:dyDescent="0.25">
      <c r="B467" s="231">
        <f t="shared" si="76"/>
        <v>179</v>
      </c>
      <c r="C467" s="53" t="s">
        <v>260</v>
      </c>
      <c r="D467" s="426">
        <v>409</v>
      </c>
      <c r="E467" s="239">
        <v>259</v>
      </c>
      <c r="F467" s="52">
        <v>194.81</v>
      </c>
      <c r="G467" s="52">
        <f t="shared" si="77"/>
        <v>-64.19</v>
      </c>
      <c r="H467" s="426">
        <f t="shared" si="78"/>
        <v>194.81</v>
      </c>
      <c r="I467" s="19" t="s">
        <v>41</v>
      </c>
      <c r="N467" s="426">
        <v>194.81</v>
      </c>
      <c r="O467" s="426">
        <v>194.81</v>
      </c>
      <c r="P467" s="427"/>
    </row>
    <row r="468" spans="2:20" ht="15" customHeight="1" x14ac:dyDescent="0.25">
      <c r="B468" s="231">
        <f t="shared" si="76"/>
        <v>180</v>
      </c>
      <c r="C468" s="53" t="s">
        <v>261</v>
      </c>
      <c r="D468" s="426">
        <v>1035</v>
      </c>
      <c r="E468" s="239">
        <v>1036</v>
      </c>
      <c r="F468" s="52">
        <v>779.26</v>
      </c>
      <c r="G468" s="52">
        <f t="shared" si="77"/>
        <v>-256.74</v>
      </c>
      <c r="H468" s="426">
        <f t="shared" si="78"/>
        <v>779.26</v>
      </c>
      <c r="I468" s="19" t="s">
        <v>41</v>
      </c>
      <c r="N468" s="426">
        <v>779.26</v>
      </c>
      <c r="O468" s="426">
        <v>779.26</v>
      </c>
      <c r="P468" s="427"/>
    </row>
    <row r="469" spans="2:20" x14ac:dyDescent="0.25">
      <c r="B469" s="231">
        <f t="shared" si="76"/>
        <v>178</v>
      </c>
      <c r="C469" s="53" t="s">
        <v>262</v>
      </c>
      <c r="D469" s="426">
        <v>1719</v>
      </c>
      <c r="E469" s="239">
        <v>1413</v>
      </c>
      <c r="F469" s="52">
        <v>1719.48</v>
      </c>
      <c r="G469" s="52">
        <f t="shared" si="77"/>
        <v>306.48</v>
      </c>
      <c r="H469" s="426">
        <f t="shared" si="78"/>
        <v>1719.48</v>
      </c>
      <c r="I469" s="19" t="s">
        <v>41</v>
      </c>
      <c r="N469" s="426">
        <v>1719.48</v>
      </c>
      <c r="O469" s="426">
        <v>1719.48</v>
      </c>
      <c r="P469" s="427"/>
    </row>
    <row r="470" spans="2:20" x14ac:dyDescent="0.25">
      <c r="B470" s="231">
        <f t="shared" si="76"/>
        <v>179</v>
      </c>
      <c r="C470" s="53" t="s">
        <v>263</v>
      </c>
      <c r="D470" s="426">
        <v>516.46</v>
      </c>
      <c r="E470" s="239">
        <v>516</v>
      </c>
      <c r="F470" s="52">
        <v>516.46</v>
      </c>
      <c r="G470" s="52">
        <f t="shared" si="77"/>
        <v>0.46000000000003638</v>
      </c>
      <c r="H470" s="426">
        <f t="shared" si="78"/>
        <v>516.46</v>
      </c>
      <c r="I470" s="19" t="s">
        <v>41</v>
      </c>
      <c r="N470" s="426">
        <v>516.46</v>
      </c>
      <c r="O470" s="426">
        <v>516.46</v>
      </c>
      <c r="P470" s="427"/>
    </row>
    <row r="471" spans="2:20" x14ac:dyDescent="0.25">
      <c r="B471" s="231">
        <f t="shared" si="76"/>
        <v>180</v>
      </c>
      <c r="C471" s="53" t="s">
        <v>264</v>
      </c>
      <c r="D471" s="426">
        <v>74523</v>
      </c>
      <c r="E471" s="239">
        <v>149046</v>
      </c>
      <c r="F471" s="52">
        <v>74523</v>
      </c>
      <c r="G471" s="52">
        <f t="shared" si="77"/>
        <v>-74523</v>
      </c>
      <c r="H471" s="426">
        <f>F471*2</f>
        <v>149046</v>
      </c>
      <c r="I471" s="19" t="s">
        <v>980</v>
      </c>
      <c r="N471" s="426">
        <v>149046</v>
      </c>
      <c r="O471" s="426">
        <v>149046</v>
      </c>
      <c r="P471" s="427"/>
    </row>
    <row r="472" spans="2:20" x14ac:dyDescent="0.25">
      <c r="B472" s="231">
        <f t="shared" si="76"/>
        <v>181</v>
      </c>
      <c r="C472" s="53" t="s">
        <v>265</v>
      </c>
      <c r="D472" s="426">
        <v>750</v>
      </c>
      <c r="E472" s="239">
        <v>3815</v>
      </c>
      <c r="F472" s="52">
        <v>0</v>
      </c>
      <c r="G472" s="52">
        <f t="shared" si="77"/>
        <v>-3815</v>
      </c>
      <c r="H472" s="426">
        <f>'[1]84,10,005 PERDITE SU CREDITI'!P1</f>
        <v>0</v>
      </c>
      <c r="I472" s="19" t="s">
        <v>41</v>
      </c>
      <c r="N472" s="426">
        <v>0</v>
      </c>
      <c r="O472" s="426">
        <v>0</v>
      </c>
      <c r="P472" s="427"/>
    </row>
    <row r="473" spans="2:20" x14ac:dyDescent="0.25">
      <c r="B473" s="231">
        <f t="shared" si="76"/>
        <v>179</v>
      </c>
      <c r="C473" s="53" t="s">
        <v>266</v>
      </c>
      <c r="D473" s="426">
        <v>3023</v>
      </c>
      <c r="E473" s="239">
        <v>4528</v>
      </c>
      <c r="F473" s="52">
        <v>3047.49</v>
      </c>
      <c r="G473" s="52">
        <f t="shared" si="77"/>
        <v>-1480.5100000000002</v>
      </c>
      <c r="H473" s="426">
        <f t="shared" ref="H473:H483" si="79">F473</f>
        <v>3047.49</v>
      </c>
      <c r="I473" s="19" t="s">
        <v>41</v>
      </c>
      <c r="N473" s="426">
        <v>3047.49</v>
      </c>
      <c r="O473" s="426">
        <v>3047.49</v>
      </c>
      <c r="P473" s="427"/>
      <c r="Q473" t="s">
        <v>981</v>
      </c>
      <c r="R473" s="258">
        <v>44863</v>
      </c>
      <c r="S473" s="164">
        <f>1100+240.37</f>
        <v>1340.37</v>
      </c>
      <c r="T473" t="s">
        <v>982</v>
      </c>
    </row>
    <row r="474" spans="2:20" x14ac:dyDescent="0.25">
      <c r="B474" s="231">
        <f t="shared" si="76"/>
        <v>180</v>
      </c>
      <c r="C474" s="53" t="s">
        <v>983</v>
      </c>
      <c r="D474" s="426">
        <v>1922</v>
      </c>
      <c r="E474" s="239"/>
      <c r="F474" s="52">
        <v>1922.29</v>
      </c>
      <c r="G474" s="52">
        <f t="shared" si="77"/>
        <v>1922.29</v>
      </c>
      <c r="H474" s="426">
        <f t="shared" si="79"/>
        <v>1922.29</v>
      </c>
      <c r="I474" s="19" t="s">
        <v>41</v>
      </c>
      <c r="N474" s="426">
        <v>1922.29</v>
      </c>
      <c r="O474" s="426">
        <v>1922.29</v>
      </c>
      <c r="P474" s="427"/>
    </row>
    <row r="475" spans="2:20" x14ac:dyDescent="0.25">
      <c r="B475" s="231">
        <f t="shared" si="76"/>
        <v>181</v>
      </c>
      <c r="C475" s="53" t="s">
        <v>267</v>
      </c>
      <c r="D475" s="426">
        <v>650</v>
      </c>
      <c r="E475" s="239">
        <v>21227</v>
      </c>
      <c r="F475" s="52">
        <v>2430.23</v>
      </c>
      <c r="G475" s="52">
        <f t="shared" si="77"/>
        <v>-18796.77</v>
      </c>
      <c r="H475" s="426">
        <f t="shared" si="79"/>
        <v>2430.23</v>
      </c>
      <c r="I475" s="19" t="s">
        <v>41</v>
      </c>
      <c r="N475" s="426">
        <v>2430.23</v>
      </c>
      <c r="O475" s="426">
        <v>2430.23</v>
      </c>
      <c r="P475" s="427"/>
    </row>
    <row r="476" spans="2:20" x14ac:dyDescent="0.25">
      <c r="B476" s="231">
        <f t="shared" si="76"/>
        <v>182</v>
      </c>
      <c r="C476" s="53" t="s">
        <v>268</v>
      </c>
      <c r="D476" s="426">
        <v>10</v>
      </c>
      <c r="E476" s="239">
        <v>4</v>
      </c>
      <c r="F476" s="52">
        <v>5.94</v>
      </c>
      <c r="G476" s="52">
        <f t="shared" si="77"/>
        <v>1.9400000000000004</v>
      </c>
      <c r="H476" s="426">
        <f t="shared" si="79"/>
        <v>5.94</v>
      </c>
      <c r="I476" s="19" t="s">
        <v>41</v>
      </c>
      <c r="N476" s="426">
        <v>5.94</v>
      </c>
      <c r="O476" s="426">
        <v>5.94</v>
      </c>
      <c r="P476" s="427"/>
    </row>
    <row r="477" spans="2:20" x14ac:dyDescent="0.25">
      <c r="B477" s="231">
        <f t="shared" si="76"/>
        <v>180</v>
      </c>
      <c r="C477" s="53" t="s">
        <v>269</v>
      </c>
      <c r="D477" s="426">
        <v>5978</v>
      </c>
      <c r="E477" s="239">
        <v>2330</v>
      </c>
      <c r="F477" s="52">
        <v>5900.1</v>
      </c>
      <c r="G477" s="52">
        <f t="shared" si="77"/>
        <v>3570.1000000000004</v>
      </c>
      <c r="H477" s="426">
        <f t="shared" si="79"/>
        <v>5900.1</v>
      </c>
      <c r="I477" s="19" t="s">
        <v>41</v>
      </c>
      <c r="N477" s="426">
        <v>5900.1</v>
      </c>
      <c r="O477" s="426">
        <v>5900.1</v>
      </c>
      <c r="P477" s="427"/>
    </row>
    <row r="478" spans="2:20" x14ac:dyDescent="0.25">
      <c r="B478" s="231">
        <f t="shared" si="76"/>
        <v>181</v>
      </c>
      <c r="C478" s="53" t="s">
        <v>270</v>
      </c>
      <c r="D478" s="426">
        <v>235</v>
      </c>
      <c r="E478" s="239">
        <v>30</v>
      </c>
      <c r="F478" s="52">
        <v>75</v>
      </c>
      <c r="G478" s="52">
        <f t="shared" si="77"/>
        <v>45</v>
      </c>
      <c r="H478" s="426">
        <f t="shared" si="79"/>
        <v>75</v>
      </c>
      <c r="I478" s="19" t="s">
        <v>41</v>
      </c>
      <c r="N478" s="426">
        <v>75</v>
      </c>
      <c r="O478" s="426">
        <v>75</v>
      </c>
      <c r="P478" s="427"/>
    </row>
    <row r="479" spans="2:20" x14ac:dyDescent="0.25">
      <c r="B479" s="231">
        <f t="shared" si="76"/>
        <v>182</v>
      </c>
      <c r="C479" s="53" t="s">
        <v>271</v>
      </c>
      <c r="D479" s="426">
        <v>2597</v>
      </c>
      <c r="E479" s="239">
        <v>1598</v>
      </c>
      <c r="F479" s="52">
        <v>3850.3</v>
      </c>
      <c r="G479" s="52">
        <f t="shared" si="77"/>
        <v>2252.3000000000002</v>
      </c>
      <c r="H479" s="426">
        <f t="shared" si="79"/>
        <v>3850.3</v>
      </c>
      <c r="I479" s="19" t="s">
        <v>41</v>
      </c>
      <c r="N479" s="426">
        <v>3850.3</v>
      </c>
      <c r="O479" s="426">
        <v>3850.3</v>
      </c>
      <c r="P479" s="427"/>
    </row>
    <row r="480" spans="2:20" x14ac:dyDescent="0.25">
      <c r="B480" s="231">
        <f t="shared" si="76"/>
        <v>183</v>
      </c>
      <c r="C480" s="53" t="s">
        <v>272</v>
      </c>
      <c r="D480" s="426">
        <v>5500</v>
      </c>
      <c r="E480" s="239">
        <v>5500</v>
      </c>
      <c r="F480" s="52">
        <v>5500</v>
      </c>
      <c r="G480" s="52">
        <f t="shared" si="77"/>
        <v>0</v>
      </c>
      <c r="H480" s="426">
        <f t="shared" si="79"/>
        <v>5500</v>
      </c>
      <c r="I480" s="19" t="s">
        <v>41</v>
      </c>
      <c r="N480" s="426">
        <v>5500</v>
      </c>
      <c r="O480" s="426">
        <v>5500</v>
      </c>
      <c r="P480" s="427"/>
    </row>
    <row r="481" spans="2:19" x14ac:dyDescent="0.25">
      <c r="B481" s="231">
        <f t="shared" si="76"/>
        <v>181</v>
      </c>
      <c r="C481" s="53" t="s">
        <v>273</v>
      </c>
      <c r="D481" s="426">
        <v>2000</v>
      </c>
      <c r="E481" s="239">
        <v>697</v>
      </c>
      <c r="F481" s="52">
        <v>1904</v>
      </c>
      <c r="G481" s="52">
        <f t="shared" si="77"/>
        <v>1207</v>
      </c>
      <c r="H481" s="426">
        <f t="shared" si="79"/>
        <v>1904</v>
      </c>
      <c r="I481" s="19" t="s">
        <v>41</v>
      </c>
      <c r="N481" s="426">
        <v>1904</v>
      </c>
      <c r="O481" s="426">
        <v>1904</v>
      </c>
      <c r="P481" s="427"/>
    </row>
    <row r="482" spans="2:19" x14ac:dyDescent="0.25">
      <c r="B482" s="231">
        <f t="shared" si="76"/>
        <v>182</v>
      </c>
      <c r="C482" s="53" t="s">
        <v>274</v>
      </c>
      <c r="D482" s="426">
        <v>162915</v>
      </c>
      <c r="E482" s="239">
        <v>117145</v>
      </c>
      <c r="F482" s="52">
        <v>162643.48000000001</v>
      </c>
      <c r="G482" s="52">
        <f t="shared" si="77"/>
        <v>45498.48000000001</v>
      </c>
      <c r="H482" s="426">
        <f t="shared" si="79"/>
        <v>162643.48000000001</v>
      </c>
      <c r="I482" s="19" t="s">
        <v>41</v>
      </c>
      <c r="N482" s="426">
        <v>162643.48000000001</v>
      </c>
      <c r="O482" s="426">
        <v>162643.48000000001</v>
      </c>
      <c r="P482" s="427"/>
    </row>
    <row r="483" spans="2:19" x14ac:dyDescent="0.25">
      <c r="B483" s="231">
        <f t="shared" si="76"/>
        <v>183</v>
      </c>
      <c r="C483" s="53" t="s">
        <v>275</v>
      </c>
      <c r="D483" s="426">
        <v>1593</v>
      </c>
      <c r="E483" s="239">
        <v>1826</v>
      </c>
      <c r="F483" s="52">
        <v>1453</v>
      </c>
      <c r="G483" s="52">
        <f t="shared" si="77"/>
        <v>-373</v>
      </c>
      <c r="H483" s="426">
        <f t="shared" si="79"/>
        <v>1453</v>
      </c>
      <c r="I483" s="19" t="s">
        <v>41</v>
      </c>
      <c r="N483" s="426">
        <v>1453</v>
      </c>
      <c r="O483" s="426">
        <v>1453</v>
      </c>
      <c r="P483" s="427"/>
      <c r="Q483" t="s">
        <v>984</v>
      </c>
      <c r="R483" s="258">
        <v>46022</v>
      </c>
      <c r="S483" s="164">
        <v>1453</v>
      </c>
    </row>
    <row r="484" spans="2:19" x14ac:dyDescent="0.25">
      <c r="B484" s="231">
        <f t="shared" si="76"/>
        <v>184</v>
      </c>
      <c r="C484" s="53" t="s">
        <v>276</v>
      </c>
      <c r="D484" s="426">
        <v>0</v>
      </c>
      <c r="E484" s="239">
        <v>43</v>
      </c>
      <c r="F484" s="52">
        <v>0</v>
      </c>
      <c r="G484" s="52">
        <f t="shared" si="77"/>
        <v>-43</v>
      </c>
      <c r="H484" s="426">
        <f>'[1]84,10,508 VISUR.RECUP.CRED.'!P1</f>
        <v>0</v>
      </c>
      <c r="I484" s="19" t="s">
        <v>41</v>
      </c>
      <c r="N484" s="426">
        <v>0</v>
      </c>
      <c r="O484" s="426">
        <v>0</v>
      </c>
      <c r="P484" s="427"/>
    </row>
    <row r="485" spans="2:19" x14ac:dyDescent="0.25">
      <c r="B485" s="231">
        <f t="shared" si="76"/>
        <v>182</v>
      </c>
      <c r="C485" s="53" t="s">
        <v>985</v>
      </c>
      <c r="D485" s="426">
        <v>0</v>
      </c>
      <c r="E485" s="239">
        <v>0</v>
      </c>
      <c r="F485" s="52">
        <v>0</v>
      </c>
      <c r="G485" s="52">
        <f t="shared" si="77"/>
        <v>0</v>
      </c>
      <c r="H485" s="426">
        <v>0</v>
      </c>
      <c r="I485" s="19" t="s">
        <v>41</v>
      </c>
      <c r="N485" s="426">
        <v>0</v>
      </c>
      <c r="O485" s="426">
        <v>0</v>
      </c>
      <c r="P485" s="427"/>
    </row>
    <row r="486" spans="2:19" x14ac:dyDescent="0.25">
      <c r="B486" s="231">
        <f t="shared" si="76"/>
        <v>183</v>
      </c>
      <c r="C486" s="53" t="s">
        <v>986</v>
      </c>
      <c r="D486" s="426">
        <v>0</v>
      </c>
      <c r="E486" s="239"/>
      <c r="F486" s="52">
        <v>0</v>
      </c>
      <c r="G486" s="52">
        <f t="shared" si="77"/>
        <v>0</v>
      </c>
      <c r="H486" s="426">
        <v>0</v>
      </c>
      <c r="I486" s="19" t="s">
        <v>41</v>
      </c>
      <c r="N486" s="426">
        <v>0</v>
      </c>
      <c r="O486" s="426">
        <v>0</v>
      </c>
      <c r="P486" s="427"/>
    </row>
    <row r="487" spans="2:19" x14ac:dyDescent="0.25">
      <c r="B487" s="231">
        <f t="shared" si="76"/>
        <v>184</v>
      </c>
      <c r="C487" s="53" t="s">
        <v>277</v>
      </c>
      <c r="D487" s="426">
        <v>648</v>
      </c>
      <c r="E487" s="239">
        <v>429</v>
      </c>
      <c r="F487" s="52">
        <v>589.70000000000005</v>
      </c>
      <c r="G487" s="52">
        <f t="shared" si="77"/>
        <v>160.70000000000005</v>
      </c>
      <c r="H487" s="426">
        <f>F487</f>
        <v>589.70000000000005</v>
      </c>
      <c r="I487" s="19" t="s">
        <v>41</v>
      </c>
      <c r="N487" s="426">
        <v>589.70000000000005</v>
      </c>
      <c r="O487" s="426">
        <v>589.70000000000005</v>
      </c>
      <c r="P487" s="427"/>
    </row>
    <row r="488" spans="2:19" x14ac:dyDescent="0.25">
      <c r="B488" s="231">
        <f t="shared" si="76"/>
        <v>185</v>
      </c>
      <c r="C488" s="53" t="s">
        <v>278</v>
      </c>
      <c r="D488" s="426">
        <v>568</v>
      </c>
      <c r="E488" s="239">
        <v>285</v>
      </c>
      <c r="F488" s="52">
        <v>623.5</v>
      </c>
      <c r="G488" s="52">
        <f t="shared" si="77"/>
        <v>338.5</v>
      </c>
      <c r="H488" s="426">
        <f>F488</f>
        <v>623.5</v>
      </c>
      <c r="I488" s="19" t="s">
        <v>41</v>
      </c>
      <c r="N488" s="426">
        <v>623.5</v>
      </c>
      <c r="O488" s="426">
        <v>623.5</v>
      </c>
      <c r="P488" s="427"/>
    </row>
    <row r="489" spans="2:19" x14ac:dyDescent="0.25">
      <c r="B489" s="231">
        <f t="shared" si="76"/>
        <v>183</v>
      </c>
      <c r="C489" s="53" t="s">
        <v>279</v>
      </c>
      <c r="D489" s="426">
        <v>0</v>
      </c>
      <c r="E489" s="239">
        <v>398</v>
      </c>
      <c r="F489" s="52">
        <v>742.65</v>
      </c>
      <c r="G489" s="52">
        <f t="shared" si="77"/>
        <v>344.65</v>
      </c>
      <c r="H489" s="426">
        <f>F489</f>
        <v>742.65</v>
      </c>
      <c r="I489" s="19" t="s">
        <v>41</v>
      </c>
      <c r="N489" s="426">
        <v>742.65</v>
      </c>
      <c r="O489" s="426">
        <v>742.65</v>
      </c>
      <c r="P489" s="427"/>
    </row>
    <row r="490" spans="2:19" ht="16.5" x14ac:dyDescent="0.3">
      <c r="B490" s="231">
        <f t="shared" si="76"/>
        <v>184</v>
      </c>
      <c r="C490" s="30" t="s">
        <v>280</v>
      </c>
      <c r="D490" s="31">
        <v>8694.48</v>
      </c>
      <c r="E490" s="366">
        <f>SUM(E491:E499)</f>
        <v>6510</v>
      </c>
      <c r="F490" s="31">
        <f>SUM(F491:F499)</f>
        <v>9973.8300000000017</v>
      </c>
      <c r="G490" s="31">
        <f>F490-E490</f>
        <v>3463.8300000000017</v>
      </c>
      <c r="H490" s="31">
        <f>SUM(H491:H499)</f>
        <v>10703.9895</v>
      </c>
      <c r="I490" s="19" t="s">
        <v>41</v>
      </c>
      <c r="N490" s="31">
        <f>SUM(N491:N499)</f>
        <v>10703.9895</v>
      </c>
      <c r="O490" s="31">
        <f>SUM(O491:O499)</f>
        <v>10703.9895</v>
      </c>
      <c r="P490" s="409"/>
    </row>
    <row r="491" spans="2:19" x14ac:dyDescent="0.25">
      <c r="B491" s="231">
        <f t="shared" si="76"/>
        <v>185</v>
      </c>
      <c r="C491" s="53" t="s">
        <v>281</v>
      </c>
      <c r="D491" s="424">
        <v>2</v>
      </c>
      <c r="E491" s="381">
        <v>2</v>
      </c>
      <c r="F491" s="54">
        <v>2</v>
      </c>
      <c r="G491" s="54">
        <f>F491-E491</f>
        <v>0</v>
      </c>
      <c r="H491" s="424">
        <f>'[1]84,05,705 IMPOSTA DI BOLLO TRIB'!P1</f>
        <v>2</v>
      </c>
      <c r="I491" s="19" t="s">
        <v>41</v>
      </c>
      <c r="N491" s="424">
        <v>2</v>
      </c>
      <c r="O491" s="424">
        <v>2</v>
      </c>
      <c r="P491" s="425"/>
    </row>
    <row r="492" spans="2:19" x14ac:dyDescent="0.25">
      <c r="B492" s="231">
        <f t="shared" si="76"/>
        <v>186</v>
      </c>
      <c r="C492" s="53" t="s">
        <v>282</v>
      </c>
      <c r="D492" s="424">
        <v>250.2</v>
      </c>
      <c r="E492" s="381">
        <v>618</v>
      </c>
      <c r="F492" s="54">
        <v>421.2</v>
      </c>
      <c r="G492" s="54">
        <f t="shared" ref="G492:G499" si="80">F492-E492</f>
        <v>-196.8</v>
      </c>
      <c r="H492" s="424">
        <v>421.2</v>
      </c>
      <c r="I492" s="19" t="s">
        <v>41</v>
      </c>
      <c r="N492" s="424">
        <v>421.2</v>
      </c>
      <c r="O492" s="424">
        <v>421.2</v>
      </c>
      <c r="P492" s="425"/>
    </row>
    <row r="493" spans="2:19" ht="27" x14ac:dyDescent="0.25">
      <c r="B493" s="231">
        <f t="shared" si="76"/>
        <v>184</v>
      </c>
      <c r="C493" s="53" t="s">
        <v>987</v>
      </c>
      <c r="D493" s="426">
        <v>504</v>
      </c>
      <c r="E493" s="239"/>
      <c r="F493" s="52">
        <v>504</v>
      </c>
      <c r="G493" s="54">
        <f t="shared" si="80"/>
        <v>504</v>
      </c>
      <c r="H493" s="426">
        <f>'[1]84,05,721 TASS.ISCRIZ.ALBO AVV.'!P1</f>
        <v>504</v>
      </c>
      <c r="I493" s="19" t="s">
        <v>41</v>
      </c>
      <c r="N493" s="426">
        <v>504</v>
      </c>
      <c r="O493" s="426">
        <v>504</v>
      </c>
      <c r="P493" s="427"/>
    </row>
    <row r="494" spans="2:19" x14ac:dyDescent="0.25">
      <c r="B494" s="231">
        <f t="shared" si="76"/>
        <v>185</v>
      </c>
      <c r="C494" s="53" t="s">
        <v>283</v>
      </c>
      <c r="D494" s="426">
        <v>2.13</v>
      </c>
      <c r="E494" s="239">
        <v>4</v>
      </c>
      <c r="F494" s="52">
        <v>3.17</v>
      </c>
      <c r="G494" s="54">
        <f t="shared" si="80"/>
        <v>-0.83000000000000007</v>
      </c>
      <c r="H494" s="426">
        <f>F494</f>
        <v>3.17</v>
      </c>
      <c r="I494" s="19" t="s">
        <v>41</v>
      </c>
      <c r="N494" s="426">
        <v>3.17</v>
      </c>
      <c r="O494" s="426">
        <v>3.17</v>
      </c>
      <c r="P494" s="427"/>
    </row>
    <row r="495" spans="2:19" ht="27" x14ac:dyDescent="0.25">
      <c r="B495" s="231"/>
      <c r="C495" s="53" t="s">
        <v>988</v>
      </c>
      <c r="D495" s="426"/>
      <c r="E495" s="239"/>
      <c r="F495" s="52">
        <v>836.75</v>
      </c>
      <c r="G495" s="54">
        <f t="shared" si="80"/>
        <v>836.75</v>
      </c>
      <c r="H495" s="426">
        <v>836.75</v>
      </c>
      <c r="I495" s="19" t="s">
        <v>41</v>
      </c>
      <c r="N495" s="426">
        <v>836.75</v>
      </c>
      <c r="O495" s="426">
        <v>836.75</v>
      </c>
      <c r="P495" s="427"/>
    </row>
    <row r="496" spans="2:19" x14ac:dyDescent="0.25">
      <c r="B496" s="231">
        <f>B491+1</f>
        <v>186</v>
      </c>
      <c r="C496" s="53" t="s">
        <v>284</v>
      </c>
      <c r="D496" s="426">
        <v>65.349999999999994</v>
      </c>
      <c r="E496" s="239">
        <v>4</v>
      </c>
      <c r="F496" s="52">
        <v>65.39</v>
      </c>
      <c r="G496" s="54">
        <f t="shared" si="80"/>
        <v>61.39</v>
      </c>
      <c r="H496" s="426">
        <f>'[1]84,10,703 SOPRAVV.PASS.TRIBUTI'!P1</f>
        <v>65.349999999999994</v>
      </c>
      <c r="I496" s="19" t="s">
        <v>41</v>
      </c>
      <c r="N496" s="426">
        <v>65.349999999999994</v>
      </c>
      <c r="O496" s="426">
        <v>65.349999999999994</v>
      </c>
      <c r="P496" s="427"/>
    </row>
    <row r="497" spans="2:17" x14ac:dyDescent="0.25">
      <c r="B497" s="231">
        <f>B492+1</f>
        <v>187</v>
      </c>
      <c r="C497" s="53" t="s">
        <v>285</v>
      </c>
      <c r="D497" s="426">
        <v>0</v>
      </c>
      <c r="E497" s="239">
        <v>946</v>
      </c>
      <c r="F497" s="52">
        <v>0</v>
      </c>
      <c r="G497" s="54">
        <f t="shared" si="80"/>
        <v>-946</v>
      </c>
      <c r="H497" s="426">
        <f>'[1]84,10,705 VALORI BOLL.TRIBUTI'!P1</f>
        <v>0</v>
      </c>
      <c r="I497" s="19" t="s">
        <v>41</v>
      </c>
      <c r="N497" s="426">
        <v>0</v>
      </c>
      <c r="O497" s="426">
        <v>0</v>
      </c>
      <c r="P497" s="427"/>
    </row>
    <row r="498" spans="2:17" x14ac:dyDescent="0.25">
      <c r="B498" s="231">
        <f>B493+1</f>
        <v>185</v>
      </c>
      <c r="C498" s="53" t="s">
        <v>286</v>
      </c>
      <c r="D498" s="426">
        <v>5419</v>
      </c>
      <c r="E498" s="239">
        <v>4936</v>
      </c>
      <c r="F498" s="52">
        <v>5689.52</v>
      </c>
      <c r="G498" s="54">
        <f t="shared" si="80"/>
        <v>753.52000000000044</v>
      </c>
      <c r="H498" s="426">
        <f>'[1]84,10,706 TARI -NETTEZZ.URB.TRI'!P1</f>
        <v>5689.5195000000003</v>
      </c>
      <c r="I498" s="19" t="s">
        <v>41</v>
      </c>
      <c r="N498" s="426">
        <v>5689.5195000000003</v>
      </c>
      <c r="O498" s="426">
        <v>5689.5195000000003</v>
      </c>
      <c r="P498" s="427"/>
    </row>
    <row r="499" spans="2:17" x14ac:dyDescent="0.25">
      <c r="B499" s="231">
        <f>B494+1</f>
        <v>186</v>
      </c>
      <c r="C499" s="53" t="s">
        <v>989</v>
      </c>
      <c r="D499" s="426">
        <v>2451.8000000000002</v>
      </c>
      <c r="E499" s="239"/>
      <c r="F499" s="52">
        <v>2451.8000000000002</v>
      </c>
      <c r="G499" s="54">
        <f t="shared" si="80"/>
        <v>2451.8000000000002</v>
      </c>
      <c r="H499" s="426">
        <f>732+2450</f>
        <v>3182</v>
      </c>
      <c r="I499" s="19" t="s">
        <v>41</v>
      </c>
      <c r="N499" s="426">
        <v>3182</v>
      </c>
      <c r="O499" s="426">
        <v>3182</v>
      </c>
      <c r="P499" s="427"/>
    </row>
    <row r="500" spans="2:17" ht="16.5" x14ac:dyDescent="0.3">
      <c r="B500" s="231"/>
      <c r="C500" s="244" t="s">
        <v>990</v>
      </c>
      <c r="D500" s="413"/>
      <c r="E500" s="414"/>
      <c r="F500" s="413"/>
      <c r="G500" s="413"/>
      <c r="H500" s="413">
        <f>'[1]previsione SMS 22-23-24'!B38</f>
        <v>24</v>
      </c>
      <c r="N500" s="413">
        <f>'[1]previsione SMS 22-23-24'!E38</f>
        <v>1524</v>
      </c>
      <c r="O500" s="413">
        <f>'[1]previsione SMS 22-23-24'!H38</f>
        <v>2024</v>
      </c>
      <c r="P500" s="393"/>
    </row>
    <row r="501" spans="2:17" ht="16.5" x14ac:dyDescent="0.3">
      <c r="B501" s="231"/>
      <c r="C501" s="250" t="s">
        <v>991</v>
      </c>
      <c r="D501" s="434"/>
      <c r="E501" s="435"/>
      <c r="F501" s="434"/>
      <c r="G501" s="434"/>
      <c r="H501" s="434"/>
      <c r="N501" s="434"/>
      <c r="O501" s="434"/>
      <c r="P501" s="418"/>
    </row>
    <row r="502" spans="2:17" ht="16.5" x14ac:dyDescent="0.3">
      <c r="B502" s="231"/>
      <c r="C502" s="250"/>
      <c r="D502" s="434"/>
      <c r="E502" s="435"/>
      <c r="F502" s="434"/>
      <c r="G502" s="434"/>
      <c r="H502" s="434"/>
      <c r="N502" s="434"/>
      <c r="O502" s="434"/>
      <c r="P502" s="418"/>
    </row>
    <row r="503" spans="2:17" ht="16.5" x14ac:dyDescent="0.3">
      <c r="B503" s="231"/>
      <c r="C503" s="250"/>
      <c r="D503" s="434"/>
      <c r="E503" s="435"/>
      <c r="F503" s="434"/>
      <c r="G503" s="434"/>
      <c r="H503" s="434"/>
      <c r="N503" s="434"/>
      <c r="O503" s="434"/>
      <c r="P503" s="418"/>
    </row>
    <row r="504" spans="2:17" ht="18.75" x14ac:dyDescent="0.3">
      <c r="B504" s="231">
        <f>B496+1</f>
        <v>187</v>
      </c>
      <c r="C504" s="16" t="s">
        <v>287</v>
      </c>
      <c r="D504" s="18">
        <v>6545372.7906050226</v>
      </c>
      <c r="E504" s="445">
        <f>E78+E94+E400+E443+E445+E450+E459+E334-1</f>
        <v>5595196</v>
      </c>
      <c r="F504" s="18">
        <f>F78+F94+F400+F443+F445+F450+F459+F334</f>
        <v>6500506.79</v>
      </c>
      <c r="G504" s="18">
        <f>F504-E504</f>
        <v>905310.79</v>
      </c>
      <c r="H504" s="18">
        <f>H78+H94+H400+H443+H445+H452+H459+H334</f>
        <v>8608433.7761666663</v>
      </c>
      <c r="N504" s="18">
        <f>N78+N94+N400+N443+N445+N452+N459+N334</f>
        <v>8887662.1404065937</v>
      </c>
      <c r="O504" s="18">
        <f>O78+O94+O400+O443+O445+O452+O459+O334</f>
        <v>9483631.7804065924</v>
      </c>
      <c r="P504" s="234"/>
    </row>
    <row r="505" spans="2:17" x14ac:dyDescent="0.25">
      <c r="B505" s="231">
        <f>B497+1</f>
        <v>188</v>
      </c>
      <c r="C505" s="5"/>
      <c r="D505" s="7"/>
      <c r="E505" s="162"/>
      <c r="F505" s="7"/>
      <c r="G505" s="7"/>
      <c r="H505" s="7"/>
      <c r="N505" s="7"/>
      <c r="O505" s="7"/>
      <c r="P505" s="163"/>
    </row>
    <row r="506" spans="2:17" ht="37.5" x14ac:dyDescent="0.3">
      <c r="B506" s="231">
        <f>B498+1</f>
        <v>186</v>
      </c>
      <c r="C506" s="16" t="s">
        <v>288</v>
      </c>
      <c r="D506" s="41">
        <v>1133336.2393949768</v>
      </c>
      <c r="E506" s="233">
        <f>E75-E504</f>
        <v>53146</v>
      </c>
      <c r="F506" s="41">
        <f>F75-F504</f>
        <v>1049739.3000000007</v>
      </c>
      <c r="G506" s="41">
        <f>F506-E506</f>
        <v>996593.30000000075</v>
      </c>
      <c r="H506" s="41">
        <f>H75-H504</f>
        <v>82158.837121006101</v>
      </c>
      <c r="N506" s="41">
        <f>N75-N504</f>
        <v>749506.17959340662</v>
      </c>
      <c r="O506" s="41">
        <f>O75-O504</f>
        <v>1629702.3795934077</v>
      </c>
      <c r="P506" s="234"/>
    </row>
    <row r="507" spans="2:17" x14ac:dyDescent="0.25">
      <c r="B507" s="231">
        <f>B499+1</f>
        <v>187</v>
      </c>
      <c r="C507" s="5"/>
      <c r="D507" s="7"/>
      <c r="E507" s="162"/>
      <c r="F507" s="7"/>
      <c r="G507" s="7"/>
      <c r="H507" s="7"/>
      <c r="N507" s="7"/>
      <c r="O507" s="7"/>
      <c r="P507" s="163"/>
    </row>
    <row r="508" spans="2:17" x14ac:dyDescent="0.25">
      <c r="B508" s="231">
        <f t="shared" ref="B508:B550" si="81">B504+1</f>
        <v>188</v>
      </c>
      <c r="C508" s="8" t="s">
        <v>289</v>
      </c>
      <c r="D508" s="7"/>
      <c r="E508" s="162"/>
      <c r="F508" s="7"/>
      <c r="G508" s="7"/>
      <c r="H508" s="7"/>
      <c r="N508" s="7"/>
      <c r="O508" s="7"/>
      <c r="P508" s="163"/>
    </row>
    <row r="509" spans="2:17" x14ac:dyDescent="0.25">
      <c r="B509" s="231">
        <f t="shared" si="81"/>
        <v>189</v>
      </c>
      <c r="C509" s="5" t="s">
        <v>290</v>
      </c>
      <c r="D509" s="7"/>
      <c r="E509" s="162"/>
      <c r="F509" s="7"/>
      <c r="G509" s="7"/>
      <c r="H509" s="7"/>
      <c r="N509" s="7"/>
      <c r="O509" s="7"/>
      <c r="P509" s="163"/>
    </row>
    <row r="510" spans="2:17" x14ac:dyDescent="0.25">
      <c r="B510" s="231">
        <f t="shared" si="81"/>
        <v>187</v>
      </c>
      <c r="C510" s="8" t="s">
        <v>291</v>
      </c>
      <c r="D510" s="21">
        <v>10747.139999999998</v>
      </c>
      <c r="E510" s="162">
        <f>SUM(E511:E512)</f>
        <v>16974.490000000002</v>
      </c>
      <c r="F510" s="7">
        <f>SUM(F511:F512)</f>
        <v>10662.51</v>
      </c>
      <c r="G510" s="7">
        <f>F510-E510</f>
        <v>-6311.9800000000014</v>
      </c>
      <c r="H510" s="21">
        <f>SUM(H511:H512)</f>
        <v>7012.79</v>
      </c>
      <c r="N510" s="21">
        <f>SUM(N511:N512)</f>
        <v>7012.79</v>
      </c>
      <c r="O510" s="21">
        <f>SUM(O511:O512)</f>
        <v>7012.79</v>
      </c>
      <c r="P510" s="108"/>
    </row>
    <row r="511" spans="2:17" x14ac:dyDescent="0.25">
      <c r="B511" s="231">
        <f t="shared" si="81"/>
        <v>188</v>
      </c>
      <c r="C511" s="53" t="s">
        <v>292</v>
      </c>
      <c r="D511" s="52">
        <v>10735.299999999997</v>
      </c>
      <c r="E511" s="239">
        <v>16964.490000000002</v>
      </c>
      <c r="F511" s="52">
        <v>10643.56</v>
      </c>
      <c r="G511" s="7">
        <f t="shared" ref="G511:G513" si="82">F511-E511</f>
        <v>-6320.9300000000021</v>
      </c>
      <c r="H511" s="52">
        <v>7000</v>
      </c>
      <c r="N511" s="52">
        <f>H511</f>
        <v>7000</v>
      </c>
      <c r="O511" s="52">
        <f>N511</f>
        <v>7000</v>
      </c>
      <c r="P511" s="240"/>
      <c r="Q511" t="s">
        <v>992</v>
      </c>
    </row>
    <row r="512" spans="2:17" x14ac:dyDescent="0.25">
      <c r="B512" s="231">
        <f t="shared" si="81"/>
        <v>189</v>
      </c>
      <c r="C512" s="53" t="s">
        <v>293</v>
      </c>
      <c r="D512" s="52">
        <v>11.84</v>
      </c>
      <c r="E512" s="239">
        <v>10</v>
      </c>
      <c r="F512" s="52">
        <v>18.95</v>
      </c>
      <c r="G512" s="7">
        <f t="shared" si="82"/>
        <v>8.9499999999999993</v>
      </c>
      <c r="H512" s="52">
        <f>'[1]87,20,501 ABB.SCONT.ATTIVI'!P1</f>
        <v>12.79</v>
      </c>
      <c r="N512" s="52">
        <v>12.79</v>
      </c>
      <c r="O512" s="52">
        <v>12.79</v>
      </c>
      <c r="P512" s="240"/>
    </row>
    <row r="513" spans="2:16" x14ac:dyDescent="0.25">
      <c r="B513" s="231">
        <f t="shared" si="81"/>
        <v>190</v>
      </c>
      <c r="C513" s="5" t="s">
        <v>294</v>
      </c>
      <c r="D513" s="21">
        <v>10747.139999999998</v>
      </c>
      <c r="E513" s="446">
        <f>E510</f>
        <v>16974.490000000002</v>
      </c>
      <c r="F513" s="21">
        <f>F510</f>
        <v>10662.51</v>
      </c>
      <c r="G513" s="7">
        <f t="shared" si="82"/>
        <v>-6311.9800000000014</v>
      </c>
      <c r="H513" s="21">
        <f>H510</f>
        <v>7012.79</v>
      </c>
      <c r="N513" s="21">
        <f>N510</f>
        <v>7012.79</v>
      </c>
      <c r="O513" s="21">
        <f>O510</f>
        <v>7012.79</v>
      </c>
      <c r="P513" s="108"/>
    </row>
    <row r="514" spans="2:16" ht="18.75" x14ac:dyDescent="0.3">
      <c r="B514" s="231">
        <f t="shared" si="81"/>
        <v>188</v>
      </c>
      <c r="C514" s="24" t="s">
        <v>295</v>
      </c>
      <c r="D514" s="17">
        <v>10747.139999999998</v>
      </c>
      <c r="E514" s="235">
        <f t="shared" ref="E514:F514" si="83">E513</f>
        <v>16974.490000000002</v>
      </c>
      <c r="F514" s="17">
        <f t="shared" si="83"/>
        <v>10662.51</v>
      </c>
      <c r="G514" s="17">
        <f>F514-E514</f>
        <v>-6311.9800000000014</v>
      </c>
      <c r="H514" s="17">
        <f t="shared" ref="H514" si="84">H513</f>
        <v>7012.79</v>
      </c>
      <c r="N514" s="17">
        <f t="shared" ref="N514:O514" si="85">N513</f>
        <v>7012.79</v>
      </c>
      <c r="O514" s="17">
        <f t="shared" si="85"/>
        <v>7012.79</v>
      </c>
      <c r="P514" s="236"/>
    </row>
    <row r="515" spans="2:16" x14ac:dyDescent="0.25">
      <c r="B515" s="231">
        <f t="shared" si="81"/>
        <v>189</v>
      </c>
      <c r="C515" s="5"/>
      <c r="D515" s="7"/>
      <c r="E515" s="162"/>
      <c r="F515" s="7"/>
      <c r="G515" s="7"/>
      <c r="H515" s="7"/>
      <c r="N515" s="7"/>
      <c r="O515" s="7"/>
      <c r="P515" s="163"/>
    </row>
    <row r="516" spans="2:16" x14ac:dyDescent="0.25">
      <c r="B516" s="231">
        <f t="shared" si="81"/>
        <v>190</v>
      </c>
      <c r="C516" s="8" t="s">
        <v>296</v>
      </c>
      <c r="D516" s="7"/>
      <c r="E516" s="162"/>
      <c r="F516" s="7"/>
      <c r="G516" s="7"/>
      <c r="H516" s="7"/>
      <c r="N516" s="7"/>
      <c r="O516" s="7"/>
      <c r="P516" s="163"/>
    </row>
    <row r="517" spans="2:16" x14ac:dyDescent="0.25">
      <c r="B517" s="231">
        <f t="shared" si="81"/>
        <v>191</v>
      </c>
      <c r="C517" s="50" t="s">
        <v>297</v>
      </c>
      <c r="D517" s="32">
        <v>33190</v>
      </c>
      <c r="E517" s="407">
        <f>E518+E519+E520</f>
        <v>42830</v>
      </c>
      <c r="F517" s="38">
        <f>F518+F519+F520</f>
        <v>33210.89</v>
      </c>
      <c r="G517" s="38">
        <f>F517-E517</f>
        <v>-9619.11</v>
      </c>
      <c r="H517" s="32">
        <v>33190</v>
      </c>
      <c r="N517" s="32">
        <v>33190</v>
      </c>
      <c r="O517" s="32">
        <v>33190</v>
      </c>
      <c r="P517" s="107"/>
    </row>
    <row r="518" spans="2:16" x14ac:dyDescent="0.25">
      <c r="B518" s="231">
        <f t="shared" si="81"/>
        <v>189</v>
      </c>
      <c r="C518" s="53" t="s">
        <v>298</v>
      </c>
      <c r="D518" s="52">
        <v>32111</v>
      </c>
      <c r="E518" s="239">
        <v>42830</v>
      </c>
      <c r="F518" s="52">
        <v>32132.61</v>
      </c>
      <c r="G518" s="38">
        <f t="shared" ref="G518:G520" si="86">F518-E518</f>
        <v>-10697.39</v>
      </c>
      <c r="H518" s="52">
        <v>30000</v>
      </c>
      <c r="N518" s="52">
        <f>H518</f>
        <v>30000</v>
      </c>
      <c r="O518" s="52">
        <f>N518</f>
        <v>30000</v>
      </c>
      <c r="P518" s="240"/>
    </row>
    <row r="519" spans="2:16" x14ac:dyDescent="0.25">
      <c r="B519" s="231">
        <f t="shared" si="81"/>
        <v>190</v>
      </c>
      <c r="C519" s="53" t="s">
        <v>993</v>
      </c>
      <c r="D519" s="21"/>
      <c r="E519" s="239"/>
      <c r="F519" s="52"/>
      <c r="G519" s="38">
        <f t="shared" si="86"/>
        <v>0</v>
      </c>
      <c r="H519" s="21"/>
      <c r="N519" s="21"/>
      <c r="O519" s="21"/>
      <c r="P519" s="108"/>
    </row>
    <row r="520" spans="2:16" x14ac:dyDescent="0.25">
      <c r="B520" s="231">
        <f t="shared" si="81"/>
        <v>191</v>
      </c>
      <c r="C520" s="53" t="s">
        <v>994</v>
      </c>
      <c r="D520" s="52">
        <v>1078.28</v>
      </c>
      <c r="E520" s="239"/>
      <c r="F520" s="52">
        <v>1078.28</v>
      </c>
      <c r="G520" s="38">
        <f t="shared" si="86"/>
        <v>1078.28</v>
      </c>
      <c r="H520" s="52"/>
      <c r="N520" s="52">
        <f>'[1]88,20,504 INT.PASS. MUT.CRAS 21'!V1</f>
        <v>0</v>
      </c>
      <c r="O520" s="52">
        <f>'[1]88,20,504 INT.PASS. MUT.CRAS 21'!W1</f>
        <v>0</v>
      </c>
      <c r="P520" s="240"/>
    </row>
    <row r="521" spans="2:16" ht="18.75" x14ac:dyDescent="0.3">
      <c r="B521" s="231">
        <f t="shared" si="81"/>
        <v>192</v>
      </c>
      <c r="C521" s="24" t="s">
        <v>299</v>
      </c>
      <c r="D521" s="17">
        <v>33190</v>
      </c>
      <c r="E521" s="235">
        <f>E517</f>
        <v>42830</v>
      </c>
      <c r="F521" s="17">
        <f>F517</f>
        <v>33210.89</v>
      </c>
      <c r="G521" s="17">
        <f>F521-E521</f>
        <v>-9619.11</v>
      </c>
      <c r="H521" s="17">
        <f>H517</f>
        <v>33190</v>
      </c>
      <c r="N521" s="17">
        <f>N517</f>
        <v>33190</v>
      </c>
      <c r="O521" s="17">
        <f>O517</f>
        <v>33190</v>
      </c>
      <c r="P521" s="236"/>
    </row>
    <row r="522" spans="2:16" x14ac:dyDescent="0.25">
      <c r="B522" s="231">
        <f t="shared" si="81"/>
        <v>190</v>
      </c>
      <c r="C522" s="5"/>
      <c r="D522" s="7"/>
      <c r="E522" s="162"/>
      <c r="F522" s="7"/>
      <c r="G522" s="7"/>
      <c r="H522" s="7"/>
      <c r="N522" s="7"/>
      <c r="O522" s="7"/>
      <c r="P522" s="163"/>
    </row>
    <row r="523" spans="2:16" x14ac:dyDescent="0.25">
      <c r="B523" s="231">
        <f t="shared" si="81"/>
        <v>191</v>
      </c>
      <c r="C523" s="5" t="s">
        <v>300</v>
      </c>
      <c r="D523" s="7"/>
      <c r="E523" s="162"/>
      <c r="F523" s="7"/>
      <c r="G523" s="7"/>
      <c r="H523" s="7"/>
      <c r="N523" s="7"/>
      <c r="O523" s="7"/>
      <c r="P523" s="163"/>
    </row>
    <row r="524" spans="2:16" ht="37.5" x14ac:dyDescent="0.3">
      <c r="B524" s="231">
        <f t="shared" si="81"/>
        <v>192</v>
      </c>
      <c r="C524" s="16" t="s">
        <v>301</v>
      </c>
      <c r="D524" s="41">
        <v>-22442.86</v>
      </c>
      <c r="E524" s="233">
        <f>E514-E521-1</f>
        <v>-25856.51</v>
      </c>
      <c r="F524" s="41">
        <f t="shared" ref="F524" si="87">F514-F521</f>
        <v>-22548.379999999997</v>
      </c>
      <c r="G524" s="41">
        <f>F524-E524</f>
        <v>3308.130000000001</v>
      </c>
      <c r="H524" s="41">
        <f t="shared" ref="H524" si="88">H514-H521</f>
        <v>-26177.21</v>
      </c>
      <c r="N524" s="41">
        <f t="shared" ref="N524:O524" si="89">N514-N521</f>
        <v>-26177.21</v>
      </c>
      <c r="O524" s="41">
        <f t="shared" si="89"/>
        <v>-26177.21</v>
      </c>
      <c r="P524" s="234"/>
    </row>
    <row r="525" spans="2:16" x14ac:dyDescent="0.25">
      <c r="B525" s="231">
        <f t="shared" si="81"/>
        <v>193</v>
      </c>
      <c r="C525" s="5"/>
      <c r="D525" s="102"/>
      <c r="E525" s="248"/>
      <c r="F525" s="106"/>
      <c r="G525" s="106"/>
      <c r="H525" s="102"/>
      <c r="N525" s="102"/>
      <c r="O525" s="102"/>
      <c r="P525" s="163"/>
    </row>
    <row r="526" spans="2:16" x14ac:dyDescent="0.25">
      <c r="B526" s="231">
        <f t="shared" si="81"/>
        <v>191</v>
      </c>
      <c r="C526" s="5" t="s">
        <v>302</v>
      </c>
      <c r="D526" s="102"/>
      <c r="E526" s="248"/>
      <c r="F526" s="106"/>
      <c r="G526" s="106"/>
      <c r="H526" s="102"/>
      <c r="N526" s="102"/>
      <c r="O526" s="102"/>
      <c r="P526" s="163"/>
    </row>
    <row r="527" spans="2:16" x14ac:dyDescent="0.25">
      <c r="B527" s="231">
        <f t="shared" si="81"/>
        <v>192</v>
      </c>
      <c r="C527" s="8" t="s">
        <v>303</v>
      </c>
      <c r="D527" s="102"/>
      <c r="E527" s="248"/>
      <c r="F527" s="106"/>
      <c r="G527" s="106"/>
      <c r="H527" s="102"/>
      <c r="N527" s="102"/>
      <c r="O527" s="102"/>
      <c r="P527" s="163"/>
    </row>
    <row r="528" spans="2:16" x14ac:dyDescent="0.25">
      <c r="B528" s="231">
        <f t="shared" si="81"/>
        <v>193</v>
      </c>
      <c r="C528" s="8" t="s">
        <v>304</v>
      </c>
      <c r="D528" s="103"/>
      <c r="E528" s="447"/>
      <c r="F528" s="105"/>
      <c r="G528" s="105"/>
      <c r="H528" s="103"/>
      <c r="N528" s="103"/>
      <c r="O528" s="103"/>
      <c r="P528" s="108"/>
    </row>
    <row r="529" spans="2:16" customFormat="1" x14ac:dyDescent="0.25">
      <c r="B529" s="231">
        <f t="shared" si="81"/>
        <v>194</v>
      </c>
      <c r="C529" s="53" t="s">
        <v>305</v>
      </c>
      <c r="D529" s="103"/>
      <c r="E529" s="447"/>
      <c r="F529" s="105"/>
      <c r="G529" s="105"/>
      <c r="H529" s="103"/>
      <c r="N529" s="103"/>
      <c r="O529" s="103"/>
      <c r="P529" s="108"/>
    </row>
    <row r="530" spans="2:16" customFormat="1" x14ac:dyDescent="0.25">
      <c r="B530" s="231">
        <f t="shared" si="81"/>
        <v>192</v>
      </c>
      <c r="C530" s="51" t="s">
        <v>306</v>
      </c>
      <c r="D530" s="105"/>
      <c r="E530" s="447"/>
      <c r="F530" s="105"/>
      <c r="G530" s="105"/>
      <c r="H530" s="105"/>
      <c r="N530" s="105"/>
      <c r="O530" s="105"/>
      <c r="P530" s="240"/>
    </row>
    <row r="531" spans="2:16" customFormat="1" x14ac:dyDescent="0.25">
      <c r="B531" s="231">
        <f t="shared" si="81"/>
        <v>193</v>
      </c>
      <c r="C531" s="51"/>
      <c r="D531" s="105"/>
      <c r="E531" s="447"/>
      <c r="F531" s="105"/>
      <c r="G531" s="105"/>
      <c r="H531" s="105"/>
      <c r="N531" s="105"/>
      <c r="O531" s="105"/>
      <c r="P531" s="240"/>
    </row>
    <row r="532" spans="2:16" customFormat="1" x14ac:dyDescent="0.25">
      <c r="B532" s="231">
        <f t="shared" si="81"/>
        <v>194</v>
      </c>
      <c r="C532" s="51" t="s">
        <v>307</v>
      </c>
      <c r="D532" s="105">
        <v>0</v>
      </c>
      <c r="E532" s="447">
        <f>E533</f>
        <v>2993</v>
      </c>
      <c r="F532" s="105">
        <f>F533</f>
        <v>1457.4</v>
      </c>
      <c r="G532" s="105">
        <f>F532-E532</f>
        <v>-1535.6</v>
      </c>
      <c r="H532" s="105">
        <v>0</v>
      </c>
      <c r="N532" s="105">
        <v>0</v>
      </c>
      <c r="O532" s="105">
        <v>0</v>
      </c>
      <c r="P532" s="240"/>
    </row>
    <row r="533" spans="2:16" customFormat="1" x14ac:dyDescent="0.25">
      <c r="B533" s="231">
        <f t="shared" si="81"/>
        <v>195</v>
      </c>
      <c r="C533" s="53" t="s">
        <v>308</v>
      </c>
      <c r="D533" s="105">
        <v>0</v>
      </c>
      <c r="E533" s="447">
        <v>2993</v>
      </c>
      <c r="F533" s="105">
        <v>1457.4</v>
      </c>
      <c r="G533" s="105">
        <f t="shared" ref="G533:G534" si="90">F533-E533</f>
        <v>-1535.6</v>
      </c>
      <c r="H533" s="105">
        <f>'[1]91,05,010 SVALUT.PARTEC'!P1</f>
        <v>0</v>
      </c>
      <c r="N533" s="105">
        <f>'[1]91,05,010 SVALUT.PARTEC'!V1</f>
        <v>0</v>
      </c>
      <c r="O533" s="105">
        <f>'[1]91,05,010 SVALUT.PARTEC'!W1</f>
        <v>0</v>
      </c>
      <c r="P533" s="240"/>
    </row>
    <row r="534" spans="2:16" customFormat="1" x14ac:dyDescent="0.25">
      <c r="B534" s="231">
        <f t="shared" si="81"/>
        <v>193</v>
      </c>
      <c r="C534" s="51" t="s">
        <v>309</v>
      </c>
      <c r="D534" s="105">
        <v>0</v>
      </c>
      <c r="E534" s="447">
        <f>E532</f>
        <v>2993</v>
      </c>
      <c r="F534" s="105">
        <f>F532</f>
        <v>1457.4</v>
      </c>
      <c r="G534" s="105">
        <f t="shared" si="90"/>
        <v>-1535.6</v>
      </c>
      <c r="H534" s="105">
        <f>H532</f>
        <v>0</v>
      </c>
      <c r="N534" s="105">
        <f>N532</f>
        <v>0</v>
      </c>
      <c r="O534" s="105">
        <f>O532</f>
        <v>0</v>
      </c>
      <c r="P534" s="240"/>
    </row>
    <row r="535" spans="2:16" customFormat="1" x14ac:dyDescent="0.25">
      <c r="B535" s="231">
        <f t="shared" si="81"/>
        <v>194</v>
      </c>
      <c r="C535" s="51"/>
      <c r="D535" s="106"/>
      <c r="E535" s="248"/>
      <c r="F535" s="106"/>
      <c r="G535" s="106"/>
      <c r="H535" s="106"/>
      <c r="N535" s="106"/>
      <c r="O535" s="106"/>
      <c r="P535" s="249"/>
    </row>
    <row r="536" spans="2:16" customFormat="1" x14ac:dyDescent="0.25">
      <c r="B536" s="231">
        <f t="shared" si="81"/>
        <v>195</v>
      </c>
      <c r="C536" s="5"/>
      <c r="D536" s="102"/>
      <c r="E536" s="248"/>
      <c r="F536" s="106"/>
      <c r="G536" s="106"/>
      <c r="H536" s="102"/>
      <c r="N536" s="102"/>
      <c r="O536" s="102"/>
      <c r="P536" s="163"/>
    </row>
    <row r="537" spans="2:16" customFormat="1" ht="37.5" x14ac:dyDescent="0.3">
      <c r="B537" s="231">
        <f t="shared" si="81"/>
        <v>196</v>
      </c>
      <c r="C537" s="16" t="s">
        <v>310</v>
      </c>
      <c r="D537" s="41">
        <v>0</v>
      </c>
      <c r="E537" s="233">
        <f>E530-E534</f>
        <v>-2993</v>
      </c>
      <c r="F537" s="41">
        <f>F530-F534</f>
        <v>-1457.4</v>
      </c>
      <c r="G537" s="41">
        <f>F537-E537</f>
        <v>1535.6</v>
      </c>
      <c r="H537" s="41">
        <f t="shared" ref="H537" si="91">H530-H534</f>
        <v>0</v>
      </c>
      <c r="N537" s="41">
        <f t="shared" ref="N537:O537" si="92">N530-N534</f>
        <v>0</v>
      </c>
      <c r="O537" s="41">
        <f t="shared" si="92"/>
        <v>0</v>
      </c>
      <c r="P537" s="234"/>
    </row>
    <row r="538" spans="2:16" customFormat="1" x14ac:dyDescent="0.25">
      <c r="B538" s="231">
        <f t="shared" si="81"/>
        <v>194</v>
      </c>
      <c r="C538" s="5"/>
      <c r="D538" s="7"/>
      <c r="E538" s="162"/>
      <c r="F538" s="7"/>
      <c r="G538" s="7"/>
      <c r="H538" s="7"/>
      <c r="N538" s="7"/>
      <c r="O538" s="7"/>
      <c r="P538" s="163"/>
    </row>
    <row r="539" spans="2:16" customFormat="1" ht="37.5" x14ac:dyDescent="0.3">
      <c r="B539" s="231">
        <f t="shared" si="81"/>
        <v>195</v>
      </c>
      <c r="C539" s="16" t="s">
        <v>311</v>
      </c>
      <c r="D539" s="41">
        <v>1110893.3793949767</v>
      </c>
      <c r="E539" s="233">
        <f>E506+E524+E537</f>
        <v>24296.49</v>
      </c>
      <c r="F539" s="41">
        <f t="shared" ref="F539" si="93">F506+F524+F537</f>
        <v>1025733.5200000007</v>
      </c>
      <c r="G539" s="41">
        <f>F539-E539</f>
        <v>1001437.0300000007</v>
      </c>
      <c r="H539" s="41">
        <f t="shared" ref="H539" si="94">H506+H524+H537</f>
        <v>55981.627121006102</v>
      </c>
      <c r="N539" s="41">
        <f t="shared" ref="N539:O539" si="95">N506+N524+N537</f>
        <v>723328.96959340665</v>
      </c>
      <c r="O539" s="41">
        <f t="shared" si="95"/>
        <v>1603525.1695934078</v>
      </c>
      <c r="P539" s="234"/>
    </row>
    <row r="540" spans="2:16" customFormat="1" x14ac:dyDescent="0.25">
      <c r="B540" s="231">
        <f t="shared" si="81"/>
        <v>196</v>
      </c>
      <c r="C540" s="5"/>
      <c r="D540" s="102"/>
      <c r="E540" s="248"/>
      <c r="F540" s="106"/>
      <c r="G540" s="106"/>
      <c r="H540" s="102"/>
      <c r="N540" s="102"/>
      <c r="O540" s="102"/>
      <c r="P540" s="163"/>
    </row>
    <row r="541" spans="2:16" customFormat="1" x14ac:dyDescent="0.25">
      <c r="B541" s="231">
        <f t="shared" si="81"/>
        <v>197</v>
      </c>
      <c r="C541" s="8" t="s">
        <v>312</v>
      </c>
      <c r="D541" s="102"/>
      <c r="E541" s="248"/>
      <c r="F541" s="106"/>
      <c r="G541" s="106"/>
      <c r="H541" s="102"/>
      <c r="N541" s="102"/>
      <c r="O541" s="102"/>
      <c r="P541" s="163"/>
    </row>
    <row r="542" spans="2:16" customFormat="1" ht="16.5" x14ac:dyDescent="0.3">
      <c r="B542" s="231">
        <f t="shared" si="81"/>
        <v>195</v>
      </c>
      <c r="C542" s="8" t="s">
        <v>313</v>
      </c>
      <c r="D542" s="103">
        <f>SUM(D543:D544)</f>
        <v>250000</v>
      </c>
      <c r="E542" s="417">
        <f>SUM(E543:E544)</f>
        <v>13992</v>
      </c>
      <c r="F542" s="416">
        <f>SUM(F543:F544)</f>
        <v>162988.71</v>
      </c>
      <c r="G542" s="416">
        <f>F542-E542</f>
        <v>148996.71</v>
      </c>
      <c r="H542" s="103">
        <f>SUM(H543:H544)</f>
        <v>0</v>
      </c>
      <c r="N542" s="103">
        <f>SUM(N543:N544)</f>
        <v>0</v>
      </c>
      <c r="O542" s="103">
        <f>SUM(O543:O544)</f>
        <v>0</v>
      </c>
      <c r="P542" s="108"/>
    </row>
    <row r="543" spans="2:16" customFormat="1" ht="16.5" x14ac:dyDescent="0.3">
      <c r="B543" s="231">
        <f t="shared" si="81"/>
        <v>196</v>
      </c>
      <c r="C543" s="5" t="s">
        <v>314</v>
      </c>
      <c r="D543" s="102">
        <v>45000</v>
      </c>
      <c r="E543" s="248">
        <v>13992</v>
      </c>
      <c r="F543" s="106">
        <v>55768.71</v>
      </c>
      <c r="G543" s="416">
        <f t="shared" ref="G543:G553" si="96">F543-E543</f>
        <v>41776.71</v>
      </c>
      <c r="H543" s="102"/>
      <c r="N543" s="102"/>
      <c r="O543" s="102"/>
      <c r="P543" s="163"/>
    </row>
    <row r="544" spans="2:16" customFormat="1" ht="16.5" x14ac:dyDescent="0.3">
      <c r="B544" s="231">
        <f t="shared" si="81"/>
        <v>197</v>
      </c>
      <c r="C544" s="5" t="s">
        <v>315</v>
      </c>
      <c r="D544" s="103">
        <v>205000</v>
      </c>
      <c r="E544" s="447"/>
      <c r="F544" s="105">
        <v>107220</v>
      </c>
      <c r="G544" s="416">
        <f t="shared" si="96"/>
        <v>107220</v>
      </c>
      <c r="H544" s="103"/>
      <c r="N544" s="103"/>
      <c r="O544" s="103"/>
      <c r="P544" s="108"/>
    </row>
    <row r="545" spans="2:16" ht="16.5" x14ac:dyDescent="0.3">
      <c r="B545" s="231">
        <f t="shared" si="81"/>
        <v>198</v>
      </c>
      <c r="C545" s="8" t="s">
        <v>316</v>
      </c>
      <c r="D545" s="103">
        <v>17961</v>
      </c>
      <c r="E545" s="417">
        <f>SUM(E546:E553)</f>
        <v>-19096</v>
      </c>
      <c r="F545" s="416">
        <f>SUM(F546:F553)</f>
        <v>80917.06</v>
      </c>
      <c r="G545" s="416">
        <f t="shared" si="96"/>
        <v>100013.06</v>
      </c>
      <c r="H545" s="103"/>
      <c r="N545" s="103"/>
      <c r="O545" s="103"/>
      <c r="P545" s="108"/>
    </row>
    <row r="546" spans="2:16" ht="16.5" x14ac:dyDescent="0.3">
      <c r="B546" s="231">
        <f t="shared" si="81"/>
        <v>196</v>
      </c>
      <c r="C546" s="5" t="s">
        <v>317</v>
      </c>
      <c r="D546" s="102">
        <v>0</v>
      </c>
      <c r="E546" s="447"/>
      <c r="F546" s="105"/>
      <c r="G546" s="416">
        <f t="shared" si="96"/>
        <v>0</v>
      </c>
      <c r="H546" s="102">
        <f>'[1]96,10,10 IMPOSTE ANTICIPATE'!P1</f>
        <v>0</v>
      </c>
      <c r="N546" s="102">
        <f>'[1]96,10,10 IMPOSTE ANTICIPATE'!V1</f>
        <v>0</v>
      </c>
      <c r="O546" s="102">
        <f>'[1]96,10,10 IMPOSTE ANTICIPATE'!W1</f>
        <v>0</v>
      </c>
      <c r="P546" s="163"/>
    </row>
    <row r="547" spans="2:16" ht="16.5" x14ac:dyDescent="0.3">
      <c r="B547" s="231">
        <f t="shared" si="81"/>
        <v>197</v>
      </c>
      <c r="C547" s="5" t="s">
        <v>318</v>
      </c>
      <c r="D547" s="102"/>
      <c r="E547" s="447">
        <v>-4269</v>
      </c>
      <c r="F547" s="105">
        <v>59844</v>
      </c>
      <c r="G547" s="416">
        <f t="shared" si="96"/>
        <v>64113</v>
      </c>
      <c r="H547" s="102"/>
      <c r="N547" s="102"/>
      <c r="O547" s="102"/>
      <c r="P547" s="163"/>
    </row>
    <row r="548" spans="2:16" ht="16.5" x14ac:dyDescent="0.3">
      <c r="B548" s="231">
        <f t="shared" si="81"/>
        <v>198</v>
      </c>
      <c r="C548" s="5" t="s">
        <v>995</v>
      </c>
      <c r="D548" s="102"/>
      <c r="E548" s="447">
        <v>73217</v>
      </c>
      <c r="F548" s="105">
        <v>0</v>
      </c>
      <c r="G548" s="416">
        <f t="shared" si="96"/>
        <v>-73217</v>
      </c>
      <c r="H548" s="102"/>
      <c r="N548" s="102"/>
      <c r="O548" s="102"/>
      <c r="P548" s="163"/>
    </row>
    <row r="549" spans="2:16" ht="27.75" x14ac:dyDescent="0.3">
      <c r="B549" s="231">
        <f t="shared" si="81"/>
        <v>199</v>
      </c>
      <c r="C549" s="5" t="s">
        <v>996</v>
      </c>
      <c r="D549" s="102"/>
      <c r="E549" s="447">
        <v>-28200</v>
      </c>
      <c r="F549" s="105">
        <v>-306.77</v>
      </c>
      <c r="G549" s="416">
        <f t="shared" si="96"/>
        <v>27893.23</v>
      </c>
      <c r="H549" s="102"/>
      <c r="N549" s="102"/>
      <c r="O549" s="102"/>
      <c r="P549" s="163"/>
    </row>
    <row r="550" spans="2:16" ht="16.5" x14ac:dyDescent="0.3">
      <c r="B550" s="231">
        <f t="shared" si="81"/>
        <v>197</v>
      </c>
      <c r="C550" s="5" t="s">
        <v>997</v>
      </c>
      <c r="D550" s="102"/>
      <c r="E550" s="447">
        <v>-59844</v>
      </c>
      <c r="F550" s="105">
        <v>0</v>
      </c>
      <c r="G550" s="416">
        <f t="shared" si="96"/>
        <v>59844</v>
      </c>
      <c r="H550" s="102"/>
      <c r="N550" s="102"/>
      <c r="O550" s="102"/>
      <c r="P550" s="163"/>
    </row>
    <row r="551" spans="2:16" ht="27.75" x14ac:dyDescent="0.3">
      <c r="B551" s="231"/>
      <c r="C551" s="5" t="s">
        <v>998</v>
      </c>
      <c r="D551" s="7"/>
      <c r="E551" s="239"/>
      <c r="F551" s="52">
        <v>42300</v>
      </c>
      <c r="G551" s="416">
        <f t="shared" si="96"/>
        <v>42300</v>
      </c>
      <c r="H551" s="7"/>
      <c r="N551" s="7"/>
      <c r="O551" s="7"/>
      <c r="P551" s="163"/>
    </row>
    <row r="552" spans="2:16" ht="27.75" x14ac:dyDescent="0.3">
      <c r="B552" s="231"/>
      <c r="C552" s="5" t="s">
        <v>999</v>
      </c>
      <c r="D552" s="7"/>
      <c r="E552" s="239"/>
      <c r="F552" s="52">
        <v>6867.15</v>
      </c>
      <c r="G552" s="416">
        <f t="shared" si="96"/>
        <v>6867.15</v>
      </c>
      <c r="H552" s="7"/>
      <c r="N552" s="7"/>
      <c r="O552" s="7"/>
      <c r="P552" s="163"/>
    </row>
    <row r="553" spans="2:16" ht="16.5" x14ac:dyDescent="0.3">
      <c r="B553" s="231"/>
      <c r="C553" s="5" t="s">
        <v>1000</v>
      </c>
      <c r="D553" s="7"/>
      <c r="E553" s="239"/>
      <c r="F553" s="52">
        <v>-27787.32</v>
      </c>
      <c r="G553" s="416">
        <f t="shared" si="96"/>
        <v>-27787.32</v>
      </c>
      <c r="H553" s="7"/>
      <c r="N553" s="7"/>
      <c r="O553" s="7"/>
      <c r="P553" s="163"/>
    </row>
    <row r="554" spans="2:16" ht="37.5" x14ac:dyDescent="0.3">
      <c r="B554" s="231">
        <f>B547+1</f>
        <v>198</v>
      </c>
      <c r="C554" s="24" t="s">
        <v>319</v>
      </c>
      <c r="D554" s="55">
        <f>D542+D545</f>
        <v>267961</v>
      </c>
      <c r="E554" s="448">
        <f>E542+E545</f>
        <v>-5104</v>
      </c>
      <c r="F554" s="55">
        <f>F542+F545</f>
        <v>243905.77</v>
      </c>
      <c r="G554" s="55">
        <f>F554-E554</f>
        <v>249009.77</v>
      </c>
      <c r="H554" s="55">
        <f>H542+H545</f>
        <v>0</v>
      </c>
      <c r="N554" s="55">
        <f>N542+N545</f>
        <v>0</v>
      </c>
      <c r="O554" s="55">
        <f>O542+O545</f>
        <v>0</v>
      </c>
      <c r="P554" s="236"/>
    </row>
    <row r="555" spans="2:16" x14ac:dyDescent="0.25">
      <c r="B555" s="231">
        <f>B548+1</f>
        <v>199</v>
      </c>
      <c r="C555" s="5"/>
      <c r="D555" s="7"/>
      <c r="E555" s="162"/>
      <c r="F555" s="7"/>
      <c r="G555" s="7"/>
      <c r="H555" s="7"/>
      <c r="N555" s="7"/>
      <c r="O555" s="7"/>
      <c r="P555" s="163"/>
    </row>
    <row r="556" spans="2:16" ht="18.75" x14ac:dyDescent="0.3">
      <c r="B556" s="231">
        <f>B549+1</f>
        <v>200</v>
      </c>
      <c r="C556" s="56" t="s">
        <v>320</v>
      </c>
      <c r="D556" s="57">
        <f>D539-D554</f>
        <v>842932.37939497666</v>
      </c>
      <c r="E556" s="449">
        <f>E539-E554</f>
        <v>29400.49</v>
      </c>
      <c r="F556" s="57">
        <f>F539-F554</f>
        <v>781827.7500000007</v>
      </c>
      <c r="G556" s="57">
        <f>F556-E556</f>
        <v>752427.26000000071</v>
      </c>
      <c r="H556" s="57">
        <f>H539-H554</f>
        <v>55981.627121006102</v>
      </c>
      <c r="N556" s="57">
        <f>N539-N554</f>
        <v>723328.96959340665</v>
      </c>
      <c r="O556" s="57">
        <f>O539-O554</f>
        <v>1603525.1695934078</v>
      </c>
      <c r="P556" s="450"/>
    </row>
    <row r="559" spans="2:16" x14ac:dyDescent="0.25">
      <c r="C559" s="452"/>
    </row>
    <row r="561" spans="4:16" customFormat="1" x14ac:dyDescent="0.25">
      <c r="D561" s="2"/>
      <c r="E561" s="454"/>
      <c r="F561" s="455"/>
      <c r="G561" s="455"/>
      <c r="H561" s="2"/>
      <c r="N561" s="2"/>
      <c r="O561" s="2"/>
      <c r="P561" s="2"/>
    </row>
    <row r="562" spans="4:16" customFormat="1" x14ac:dyDescent="0.25">
      <c r="D562" s="2"/>
      <c r="E562" s="454"/>
      <c r="F562" s="455"/>
      <c r="G562" s="455"/>
      <c r="H562" s="2"/>
      <c r="N562" s="2"/>
      <c r="O562" s="2"/>
      <c r="P562" s="2"/>
    </row>
    <row r="563" spans="4:16" customFormat="1" x14ac:dyDescent="0.25">
      <c r="D563" s="2"/>
      <c r="E563" s="454"/>
      <c r="F563" s="455"/>
      <c r="G563" s="455"/>
      <c r="H563" s="2"/>
      <c r="N563" s="2"/>
      <c r="O563" s="2"/>
      <c r="P563" s="2"/>
    </row>
    <row r="564" spans="4:16" customFormat="1" x14ac:dyDescent="0.25">
      <c r="D564" s="2"/>
      <c r="E564" s="454"/>
      <c r="F564" s="455"/>
      <c r="G564" s="455"/>
      <c r="H564" s="2"/>
      <c r="N564" s="2"/>
      <c r="O564" s="2"/>
      <c r="P564" s="2"/>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AD8"/>
  <sheetViews>
    <sheetView workbookViewId="0">
      <selection activeCell="C4" sqref="C4:H4"/>
    </sheetView>
  </sheetViews>
  <sheetFormatPr defaultColWidth="9.140625" defaultRowHeight="15" x14ac:dyDescent="0.25"/>
  <cols>
    <col min="1" max="1" width="11.140625" customWidth="1"/>
    <col min="2" max="2" width="11.7109375" style="451" customWidth="1"/>
    <col min="3" max="3" width="55.28515625" style="59" customWidth="1"/>
    <col min="4" max="4" width="19.7109375" style="60" hidden="1" customWidth="1"/>
    <col min="5" max="5" width="20.140625" style="453" hidden="1" customWidth="1"/>
    <col min="6" max="7" width="20.140625" style="60" hidden="1" customWidth="1"/>
    <col min="8" max="8" width="17.85546875" style="60" customWidth="1"/>
    <col min="9" max="9" width="19" hidden="1" customWidth="1"/>
    <col min="10" max="10" width="32.7109375" hidden="1" customWidth="1"/>
    <col min="11" max="11" width="15.5703125" hidden="1" customWidth="1"/>
    <col min="12" max="13" width="9.140625" hidden="1" customWidth="1"/>
    <col min="14" max="15" width="17.85546875" style="60" customWidth="1"/>
    <col min="16" max="16" width="17.85546875" style="60" hidden="1" customWidth="1"/>
    <col min="17" max="17" width="45.140625" bestFit="1" customWidth="1"/>
    <col min="18" max="18" width="20.42578125" customWidth="1"/>
    <col min="19" max="19" width="11.85546875" style="164" bestFit="1" customWidth="1"/>
  </cols>
  <sheetData>
    <row r="1" spans="2:30" ht="33.75" customHeight="1" x14ac:dyDescent="0.25">
      <c r="B1" s="620" t="e">
        <f>B3+1</f>
        <v>#REF!</v>
      </c>
      <c r="C1" s="621" t="s">
        <v>187</v>
      </c>
      <c r="D1" s="622">
        <v>0</v>
      </c>
      <c r="E1" s="623">
        <v>159</v>
      </c>
      <c r="F1" s="622">
        <v>0</v>
      </c>
      <c r="G1" s="622">
        <f t="shared" ref="G1:G6" si="0">F1-E1</f>
        <v>-159</v>
      </c>
      <c r="H1" s="622">
        <f>F1</f>
        <v>0</v>
      </c>
      <c r="I1" s="19" t="s">
        <v>95</v>
      </c>
      <c r="N1" t="s">
        <v>1040</v>
      </c>
      <c r="O1"/>
      <c r="P1" s="197">
        <f t="shared" ref="P1:Q3" si="1">L1</f>
        <v>0</v>
      </c>
      <c r="Q1" s="197">
        <f t="shared" si="1"/>
        <v>0</v>
      </c>
      <c r="R1" s="199"/>
      <c r="S1"/>
      <c r="U1" s="164"/>
    </row>
    <row r="2" spans="2:30" ht="33.75" customHeight="1" x14ac:dyDescent="0.25">
      <c r="B2" s="620" t="e">
        <f>'TRIBUTI SERVIZI '!B8+1</f>
        <v>#REF!</v>
      </c>
      <c r="C2" s="621" t="s">
        <v>193</v>
      </c>
      <c r="D2" s="622">
        <v>0</v>
      </c>
      <c r="E2" s="623">
        <v>690</v>
      </c>
      <c r="F2" s="622">
        <v>0</v>
      </c>
      <c r="G2" s="622">
        <f t="shared" si="0"/>
        <v>-690</v>
      </c>
      <c r="H2" s="622">
        <f>F2</f>
        <v>0</v>
      </c>
      <c r="I2" s="19" t="s">
        <v>95</v>
      </c>
      <c r="N2" t="s">
        <v>1040</v>
      </c>
      <c r="O2"/>
      <c r="P2" s="197">
        <f t="shared" si="1"/>
        <v>0</v>
      </c>
      <c r="Q2" s="197">
        <f t="shared" si="1"/>
        <v>0</v>
      </c>
      <c r="R2" s="199"/>
      <c r="S2"/>
      <c r="U2" s="164"/>
    </row>
    <row r="3" spans="2:30" ht="33.75" customHeight="1" x14ac:dyDescent="0.25">
      <c r="B3" s="620" t="e">
        <f>'TRIBUTI SERVIZI '!B9+1</f>
        <v>#REF!</v>
      </c>
      <c r="C3" s="621" t="s">
        <v>194</v>
      </c>
      <c r="D3" s="622">
        <v>0</v>
      </c>
      <c r="E3" s="623">
        <v>0</v>
      </c>
      <c r="F3" s="622">
        <v>0</v>
      </c>
      <c r="G3" s="622">
        <f t="shared" si="0"/>
        <v>0</v>
      </c>
      <c r="H3" s="622">
        <f>F3</f>
        <v>0</v>
      </c>
      <c r="I3" s="19" t="s">
        <v>95</v>
      </c>
      <c r="N3" t="s">
        <v>1040</v>
      </c>
      <c r="O3"/>
      <c r="P3" s="197">
        <f t="shared" si="1"/>
        <v>0</v>
      </c>
      <c r="Q3" s="197">
        <f t="shared" si="1"/>
        <v>0</v>
      </c>
      <c r="R3" s="199"/>
      <c r="S3"/>
      <c r="U3" s="164"/>
    </row>
    <row r="4" spans="2:30" ht="33.75" customHeight="1" x14ac:dyDescent="0.25">
      <c r="B4" s="620" t="e">
        <f>#REF!+1</f>
        <v>#REF!</v>
      </c>
      <c r="C4" s="621" t="s">
        <v>188</v>
      </c>
      <c r="D4" s="622">
        <v>3200</v>
      </c>
      <c r="E4" s="623">
        <v>4232</v>
      </c>
      <c r="F4" s="622">
        <v>2900</v>
      </c>
      <c r="G4" s="622">
        <f t="shared" si="0"/>
        <v>-1332</v>
      </c>
      <c r="H4" s="622">
        <v>3000</v>
      </c>
      <c r="I4" s="19" t="s">
        <v>95</v>
      </c>
      <c r="N4" t="s">
        <v>1040</v>
      </c>
      <c r="O4"/>
      <c r="P4" s="197">
        <v>3000</v>
      </c>
      <c r="Q4" s="197">
        <v>3000</v>
      </c>
      <c r="R4" s="199"/>
      <c r="S4"/>
      <c r="U4" s="164"/>
    </row>
    <row r="5" spans="2:30" ht="33.75" customHeight="1" x14ac:dyDescent="0.25">
      <c r="B5" s="620" t="e">
        <f>'TRIBUTI SERVIZI '!B55+1</f>
        <v>#REF!</v>
      </c>
      <c r="C5" s="621" t="s">
        <v>197</v>
      </c>
      <c r="D5" s="622">
        <v>0</v>
      </c>
      <c r="E5" s="623">
        <v>2080</v>
      </c>
      <c r="F5" s="622">
        <v>0</v>
      </c>
      <c r="G5" s="622">
        <f t="shared" si="0"/>
        <v>-2080</v>
      </c>
      <c r="H5" s="622">
        <f>F5</f>
        <v>0</v>
      </c>
      <c r="I5" s="19" t="s">
        <v>95</v>
      </c>
      <c r="N5" t="s">
        <v>1040</v>
      </c>
      <c r="O5"/>
      <c r="P5" s="197">
        <f>L5</f>
        <v>0</v>
      </c>
      <c r="Q5" s="197">
        <f>M5</f>
        <v>0</v>
      </c>
      <c r="R5" s="199"/>
      <c r="S5"/>
      <c r="U5" s="164"/>
    </row>
    <row r="6" spans="2:30" ht="33.75" customHeight="1" x14ac:dyDescent="0.25">
      <c r="B6" s="620" t="e">
        <f>B1+1</f>
        <v>#REF!</v>
      </c>
      <c r="C6" s="621" t="s">
        <v>198</v>
      </c>
      <c r="D6" s="622">
        <v>0</v>
      </c>
      <c r="E6" s="623">
        <v>0</v>
      </c>
      <c r="F6" s="622">
        <v>0</v>
      </c>
      <c r="G6" s="622">
        <f t="shared" si="0"/>
        <v>0</v>
      </c>
      <c r="H6" s="622">
        <f>F6</f>
        <v>0</v>
      </c>
      <c r="I6" s="19" t="s">
        <v>95</v>
      </c>
      <c r="N6" t="s">
        <v>1040</v>
      </c>
      <c r="O6"/>
      <c r="P6" s="197">
        <f>L6</f>
        <v>0</v>
      </c>
      <c r="Q6" s="197">
        <f>M6</f>
        <v>0</v>
      </c>
      <c r="R6" s="199"/>
      <c r="S6"/>
      <c r="U6" s="164"/>
    </row>
    <row r="7" spans="2:30" ht="33.75" customHeight="1" x14ac:dyDescent="0.25">
      <c r="B7" s="620"/>
      <c r="C7" s="621"/>
      <c r="D7" s="622"/>
      <c r="E7" s="623"/>
      <c r="F7" s="622"/>
      <c r="G7" s="622"/>
      <c r="H7" s="622"/>
      <c r="I7" s="19"/>
      <c r="N7"/>
      <c r="O7"/>
      <c r="P7" s="197"/>
      <c r="Q7" s="197"/>
      <c r="R7" s="199"/>
      <c r="S7"/>
      <c r="U7" s="164"/>
    </row>
    <row r="8" spans="2:30" s="60" customFormat="1" x14ac:dyDescent="0.25">
      <c r="B8" s="451"/>
      <c r="C8" s="59"/>
      <c r="E8" s="453"/>
      <c r="H8" s="60">
        <f>SUM(H1:H7)</f>
        <v>3000</v>
      </c>
      <c r="I8" s="60" t="e">
        <f>SUM(#REF!)</f>
        <v>#REF!</v>
      </c>
      <c r="J8" s="60" t="e">
        <f>SUM(#REF!)</f>
        <v>#REF!</v>
      </c>
      <c r="K8" s="60" t="e">
        <f>SUM(#REF!)</f>
        <v>#REF!</v>
      </c>
      <c r="L8" s="60" t="e">
        <f>SUM(#REF!)</f>
        <v>#REF!</v>
      </c>
      <c r="M8" s="60" t="e">
        <f>SUM(#REF!)</f>
        <v>#REF!</v>
      </c>
      <c r="Q8" s="58">
        <f>SUM(Q1:Q7)</f>
        <v>3000</v>
      </c>
      <c r="R8"/>
      <c r="S8" s="164"/>
      <c r="T8"/>
      <c r="U8"/>
      <c r="V8"/>
      <c r="W8"/>
      <c r="X8"/>
      <c r="Y8"/>
      <c r="Z8"/>
      <c r="AA8"/>
      <c r="AB8"/>
      <c r="AC8"/>
      <c r="AD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AD117"/>
  <sheetViews>
    <sheetView workbookViewId="0">
      <selection activeCell="O102" sqref="O102:O116"/>
    </sheetView>
  </sheetViews>
  <sheetFormatPr defaultColWidth="9.140625" defaultRowHeight="15" x14ac:dyDescent="0.25"/>
  <cols>
    <col min="1" max="1" width="11.140625" customWidth="1"/>
    <col min="2" max="2" width="11.7109375" style="451" customWidth="1"/>
    <col min="3" max="3" width="55.28515625" style="59" customWidth="1"/>
    <col min="4" max="4" width="19.7109375" style="60" hidden="1" customWidth="1"/>
    <col min="5" max="5" width="20.140625" style="453" hidden="1" customWidth="1"/>
    <col min="6" max="7" width="20.140625" style="60" hidden="1" customWidth="1"/>
    <col min="8" max="8" width="17.85546875" style="60" customWidth="1"/>
    <col min="9" max="9" width="19" hidden="1" customWidth="1"/>
    <col min="10" max="10" width="32.7109375" hidden="1" customWidth="1"/>
    <col min="11" max="11" width="15.5703125" hidden="1" customWidth="1"/>
    <col min="12" max="13" width="9.140625" hidden="1" customWidth="1"/>
    <col min="14" max="15" width="17.85546875" style="60" customWidth="1"/>
    <col min="16" max="16" width="17.85546875" style="60" hidden="1" customWidth="1"/>
    <col min="17" max="17" width="45.140625" bestFit="1" customWidth="1"/>
    <col min="18" max="18" width="20.42578125" customWidth="1"/>
    <col min="19" max="19" width="11.85546875" style="164" bestFit="1" customWidth="1"/>
  </cols>
  <sheetData>
    <row r="1" spans="2:30" ht="75" x14ac:dyDescent="0.25">
      <c r="B1" s="153"/>
      <c r="C1" s="3" t="s">
        <v>1</v>
      </c>
      <c r="D1" s="4" t="s">
        <v>675</v>
      </c>
      <c r="E1" s="154" t="s">
        <v>2</v>
      </c>
      <c r="F1" s="155" t="s">
        <v>676</v>
      </c>
      <c r="G1" s="156" t="s">
        <v>677</v>
      </c>
      <c r="H1" s="4" t="s">
        <v>678</v>
      </c>
      <c r="I1" s="157" t="s">
        <v>679</v>
      </c>
      <c r="J1" s="157" t="s">
        <v>680</v>
      </c>
      <c r="K1" s="157" t="s">
        <v>681</v>
      </c>
      <c r="N1" s="4" t="s">
        <v>682</v>
      </c>
      <c r="O1" s="4" t="s">
        <v>683</v>
      </c>
      <c r="P1" s="158"/>
      <c r="Q1" s="159" t="s">
        <v>684</v>
      </c>
      <c r="R1" s="159" t="s">
        <v>685</v>
      </c>
      <c r="S1" s="160" t="s">
        <v>686</v>
      </c>
    </row>
    <row r="2" spans="2:30" s="458" customFormat="1" ht="21.95" hidden="1" customHeight="1" x14ac:dyDescent="0.25">
      <c r="B2" s="456"/>
      <c r="C2" s="457" t="s">
        <v>3</v>
      </c>
      <c r="D2" s="7"/>
      <c r="E2" s="162"/>
      <c r="F2" s="7"/>
      <c r="G2" s="7"/>
      <c r="H2" s="7"/>
      <c r="N2" s="7"/>
      <c r="O2" s="7"/>
      <c r="P2" s="163"/>
      <c r="S2" s="459"/>
    </row>
    <row r="3" spans="2:30" s="170" customFormat="1" ht="21.95" hidden="1" customHeight="1" x14ac:dyDescent="0.25">
      <c r="B3" s="460">
        <v>1</v>
      </c>
      <c r="C3" s="461" t="s">
        <v>4</v>
      </c>
      <c r="D3" s="462">
        <v>7205827.7999999998</v>
      </c>
      <c r="E3" s="463">
        <f>E4+E36-1</f>
        <v>5095752</v>
      </c>
      <c r="F3" s="462">
        <f>F4+F36</f>
        <v>6979982.3100000005</v>
      </c>
      <c r="G3" s="462">
        <f t="shared" ref="G3:G37" si="0">F3-E3</f>
        <v>1884230.3100000005</v>
      </c>
      <c r="H3" s="462">
        <f>H4+H36+H38</f>
        <v>8563754.5632876717</v>
      </c>
      <c r="I3" s="169">
        <v>867383.24</v>
      </c>
      <c r="N3" s="462">
        <f>N4+N36+N38</f>
        <v>9386500</v>
      </c>
      <c r="O3" s="462">
        <f>O4+O36+O38</f>
        <v>10986500</v>
      </c>
      <c r="P3" s="464"/>
      <c r="S3" s="172"/>
    </row>
    <row r="4" spans="2:30" s="170" customFormat="1" ht="21.95" hidden="1" customHeight="1" x14ac:dyDescent="0.25">
      <c r="B4" s="460">
        <f t="shared" ref="B4:B37" si="1">B3+1</f>
        <v>2</v>
      </c>
      <c r="C4" s="465" t="s">
        <v>5</v>
      </c>
      <c r="D4" s="466">
        <v>5405827.7999999998</v>
      </c>
      <c r="E4" s="467">
        <f>E9+E22+E25+E29+SUM(E30+E31+E32+E33+E34+E35)</f>
        <v>3895753</v>
      </c>
      <c r="F4" s="466">
        <f>F9+F22+F25+F29+SUM(F30+F31+F32+F33+F34+F35)</f>
        <v>5429982.3100000005</v>
      </c>
      <c r="G4" s="466">
        <f t="shared" si="0"/>
        <v>1534229.3100000005</v>
      </c>
      <c r="H4" s="466">
        <f>'[1]previsioni ricavi 22-23-24'!E25</f>
        <v>6152487.4400000004</v>
      </c>
      <c r="I4" s="19" t="s">
        <v>95</v>
      </c>
      <c r="J4" s="176"/>
      <c r="K4" s="176"/>
      <c r="L4" s="176"/>
      <c r="M4" s="176"/>
      <c r="N4" s="466">
        <f>'[1]previsioni ricavi 22-23-24'!I25</f>
        <v>6900000</v>
      </c>
      <c r="O4" s="466">
        <f>'[1]previsioni ricavi 22-23-24'!J25</f>
        <v>8500000</v>
      </c>
      <c r="P4" s="468"/>
      <c r="Q4" s="176"/>
      <c r="R4" s="176"/>
      <c r="S4" s="178"/>
      <c r="T4" s="179"/>
      <c r="U4" s="179"/>
      <c r="V4" s="179"/>
      <c r="W4" s="179"/>
      <c r="X4" s="179"/>
      <c r="Y4" s="179"/>
      <c r="Z4" s="179"/>
      <c r="AA4" s="179"/>
      <c r="AB4" s="179"/>
      <c r="AC4" s="179"/>
      <c r="AD4" s="179"/>
    </row>
    <row r="5" spans="2:30" s="170" customFormat="1" ht="21.95" hidden="1" customHeight="1" x14ac:dyDescent="0.25">
      <c r="B5" s="460">
        <f t="shared" si="1"/>
        <v>3</v>
      </c>
      <c r="C5" s="36" t="s">
        <v>6</v>
      </c>
      <c r="D5" s="180"/>
      <c r="E5" s="181">
        <v>289401</v>
      </c>
      <c r="F5" s="180">
        <v>272479.46999999997</v>
      </c>
      <c r="G5" s="180">
        <f t="shared" si="0"/>
        <v>-16921.530000000028</v>
      </c>
      <c r="H5" s="180"/>
      <c r="I5" s="19" t="s">
        <v>95</v>
      </c>
      <c r="N5" s="180"/>
      <c r="O5" s="180"/>
      <c r="P5" s="182"/>
      <c r="S5" s="172"/>
    </row>
    <row r="6" spans="2:30" s="170" customFormat="1" ht="21.95" hidden="1" customHeight="1" x14ac:dyDescent="0.25">
      <c r="B6" s="460">
        <f t="shared" si="1"/>
        <v>4</v>
      </c>
      <c r="C6" s="36" t="s">
        <v>7</v>
      </c>
      <c r="D6" s="180"/>
      <c r="E6" s="181">
        <v>73250</v>
      </c>
      <c r="F6" s="180">
        <v>77354.62</v>
      </c>
      <c r="G6" s="180">
        <f t="shared" si="0"/>
        <v>4104.6199999999953</v>
      </c>
      <c r="H6" s="180"/>
      <c r="I6" s="19" t="s">
        <v>95</v>
      </c>
      <c r="N6" s="180"/>
      <c r="O6" s="180"/>
      <c r="P6" s="182"/>
      <c r="S6" s="172"/>
    </row>
    <row r="7" spans="2:30" s="170" customFormat="1" ht="21.95" hidden="1" customHeight="1" x14ac:dyDescent="0.25">
      <c r="B7" s="460">
        <f t="shared" si="1"/>
        <v>5</v>
      </c>
      <c r="C7" s="36" t="s">
        <v>8</v>
      </c>
      <c r="D7" s="180"/>
      <c r="E7" s="181">
        <v>28283</v>
      </c>
      <c r="F7" s="180">
        <v>32782.720000000001</v>
      </c>
      <c r="G7" s="180">
        <f t="shared" si="0"/>
        <v>4499.7200000000012</v>
      </c>
      <c r="H7" s="180"/>
      <c r="I7" s="19" t="s">
        <v>95</v>
      </c>
      <c r="N7" s="180"/>
      <c r="O7" s="180"/>
      <c r="P7" s="182"/>
      <c r="S7" s="172"/>
    </row>
    <row r="8" spans="2:30" s="170" customFormat="1" ht="21.95" hidden="1" customHeight="1" x14ac:dyDescent="0.25">
      <c r="B8" s="460">
        <f t="shared" si="1"/>
        <v>6</v>
      </c>
      <c r="C8" s="36" t="s">
        <v>9</v>
      </c>
      <c r="D8" s="180"/>
      <c r="E8" s="181">
        <v>15508</v>
      </c>
      <c r="F8" s="180">
        <v>0</v>
      </c>
      <c r="G8" s="180">
        <f t="shared" si="0"/>
        <v>-15508</v>
      </c>
      <c r="H8" s="180"/>
      <c r="I8" s="19" t="s">
        <v>95</v>
      </c>
      <c r="N8" s="180"/>
      <c r="O8" s="180"/>
      <c r="P8" s="182"/>
      <c r="S8" s="172"/>
    </row>
    <row r="9" spans="2:30" s="170" customFormat="1" ht="21.95" hidden="1" customHeight="1" x14ac:dyDescent="0.25">
      <c r="B9" s="460">
        <f t="shared" si="1"/>
        <v>7</v>
      </c>
      <c r="C9" s="469" t="s">
        <v>10</v>
      </c>
      <c r="D9" s="470">
        <v>0</v>
      </c>
      <c r="E9" s="471">
        <f>SUM(E5:E8)-1</f>
        <v>406441</v>
      </c>
      <c r="F9" s="470">
        <f>SUM(F5:F8)</f>
        <v>382616.80999999994</v>
      </c>
      <c r="G9" s="180">
        <f t="shared" si="0"/>
        <v>-23824.190000000061</v>
      </c>
      <c r="H9" s="470">
        <f>SUM(H5:H8)</f>
        <v>0</v>
      </c>
      <c r="I9" s="19" t="s">
        <v>95</v>
      </c>
      <c r="N9" s="470">
        <f>SUM(N5:N8)</f>
        <v>0</v>
      </c>
      <c r="O9" s="470">
        <f>SUM(O5:O8)</f>
        <v>0</v>
      </c>
      <c r="P9" s="472"/>
      <c r="S9" s="172"/>
    </row>
    <row r="10" spans="2:30" s="170" customFormat="1" ht="21.95" hidden="1" customHeight="1" x14ac:dyDescent="0.25">
      <c r="B10" s="460">
        <f t="shared" si="1"/>
        <v>8</v>
      </c>
      <c r="C10" s="36" t="s">
        <v>11</v>
      </c>
      <c r="D10" s="180"/>
      <c r="E10" s="181">
        <v>340362</v>
      </c>
      <c r="F10" s="180">
        <v>503946.08</v>
      </c>
      <c r="G10" s="180">
        <f t="shared" si="0"/>
        <v>163584.08000000002</v>
      </c>
      <c r="H10" s="180"/>
      <c r="I10" s="19" t="s">
        <v>95</v>
      </c>
      <c r="N10" s="180"/>
      <c r="O10" s="180"/>
      <c r="P10" s="182"/>
      <c r="S10" s="172"/>
    </row>
    <row r="11" spans="2:30" s="170" customFormat="1" ht="21.95" hidden="1" customHeight="1" x14ac:dyDescent="0.25">
      <c r="B11" s="460">
        <f t="shared" si="1"/>
        <v>9</v>
      </c>
      <c r="C11" s="36" t="s">
        <v>12</v>
      </c>
      <c r="D11" s="180"/>
      <c r="E11" s="181">
        <v>474279</v>
      </c>
      <c r="F11" s="180">
        <v>745479.62</v>
      </c>
      <c r="G11" s="180">
        <f t="shared" si="0"/>
        <v>271200.62</v>
      </c>
      <c r="H11" s="180"/>
      <c r="I11" s="19" t="s">
        <v>95</v>
      </c>
      <c r="N11" s="180"/>
      <c r="O11" s="180"/>
      <c r="P11" s="182"/>
      <c r="S11" s="172"/>
    </row>
    <row r="12" spans="2:30" s="170" customFormat="1" ht="21.95" hidden="1" customHeight="1" x14ac:dyDescent="0.25">
      <c r="B12" s="460">
        <f t="shared" si="1"/>
        <v>10</v>
      </c>
      <c r="C12" s="36" t="s">
        <v>13</v>
      </c>
      <c r="D12" s="180"/>
      <c r="E12" s="181">
        <v>159069</v>
      </c>
      <c r="F12" s="180">
        <v>243440.14</v>
      </c>
      <c r="G12" s="180">
        <f t="shared" si="0"/>
        <v>84371.140000000014</v>
      </c>
      <c r="H12" s="180"/>
      <c r="I12" s="19" t="s">
        <v>95</v>
      </c>
      <c r="N12" s="180"/>
      <c r="O12" s="180"/>
      <c r="P12" s="182"/>
      <c r="S12" s="172"/>
    </row>
    <row r="13" spans="2:30" s="170" customFormat="1" ht="21.95" hidden="1" customHeight="1" x14ac:dyDescent="0.25">
      <c r="B13" s="460">
        <f t="shared" si="1"/>
        <v>11</v>
      </c>
      <c r="C13" s="36" t="s">
        <v>14</v>
      </c>
      <c r="D13" s="28"/>
      <c r="E13" s="188">
        <v>445345</v>
      </c>
      <c r="F13" s="28">
        <v>580199.37</v>
      </c>
      <c r="G13" s="180">
        <f t="shared" si="0"/>
        <v>134854.37</v>
      </c>
      <c r="H13" s="28"/>
      <c r="I13" s="19" t="s">
        <v>95</v>
      </c>
      <c r="N13" s="28"/>
      <c r="O13" s="28"/>
      <c r="P13" s="189"/>
      <c r="S13" s="172"/>
    </row>
    <row r="14" spans="2:30" s="170" customFormat="1" ht="21.95" hidden="1" customHeight="1" x14ac:dyDescent="0.25">
      <c r="B14" s="460">
        <f t="shared" si="1"/>
        <v>12</v>
      </c>
      <c r="C14" s="36" t="s">
        <v>15</v>
      </c>
      <c r="D14" s="180"/>
      <c r="E14" s="181">
        <v>218871</v>
      </c>
      <c r="F14" s="180">
        <v>349942.89</v>
      </c>
      <c r="G14" s="180">
        <f t="shared" si="0"/>
        <v>131071.89000000001</v>
      </c>
      <c r="H14" s="180"/>
      <c r="I14" s="19" t="s">
        <v>95</v>
      </c>
      <c r="N14" s="180"/>
      <c r="O14" s="180"/>
      <c r="P14" s="182"/>
      <c r="S14" s="172"/>
    </row>
    <row r="15" spans="2:30" s="170" customFormat="1" ht="21.95" hidden="1" customHeight="1" x14ac:dyDescent="0.25">
      <c r="B15" s="460">
        <f t="shared" si="1"/>
        <v>13</v>
      </c>
      <c r="C15" s="36" t="s">
        <v>16</v>
      </c>
      <c r="D15" s="180"/>
      <c r="E15" s="181">
        <v>316892</v>
      </c>
      <c r="F15" s="180">
        <v>590267.78</v>
      </c>
      <c r="G15" s="180">
        <f t="shared" si="0"/>
        <v>273375.78000000003</v>
      </c>
      <c r="H15" s="180"/>
      <c r="I15" s="19" t="s">
        <v>95</v>
      </c>
      <c r="N15" s="180"/>
      <c r="O15" s="180"/>
      <c r="P15" s="182"/>
      <c r="S15" s="172"/>
    </row>
    <row r="16" spans="2:30" s="170" customFormat="1" ht="21.95" hidden="1" customHeight="1" x14ac:dyDescent="0.25">
      <c r="B16" s="460">
        <f t="shared" si="1"/>
        <v>14</v>
      </c>
      <c r="C16" s="36" t="s">
        <v>17</v>
      </c>
      <c r="D16" s="180"/>
      <c r="E16" s="181">
        <v>60683</v>
      </c>
      <c r="F16" s="180">
        <v>71524.95</v>
      </c>
      <c r="G16" s="180">
        <f t="shared" si="0"/>
        <v>10841.949999999997</v>
      </c>
      <c r="H16" s="180"/>
      <c r="I16" s="19" t="s">
        <v>95</v>
      </c>
      <c r="N16" s="180"/>
      <c r="O16" s="180"/>
      <c r="P16" s="182"/>
      <c r="S16" s="172"/>
    </row>
    <row r="17" spans="2:19" s="170" customFormat="1" ht="21.95" hidden="1" customHeight="1" x14ac:dyDescent="0.25">
      <c r="B17" s="460">
        <f t="shared" si="1"/>
        <v>15</v>
      </c>
      <c r="C17" s="36" t="s">
        <v>18</v>
      </c>
      <c r="D17" s="180"/>
      <c r="E17" s="181">
        <v>31980</v>
      </c>
      <c r="F17" s="180">
        <v>32496.77</v>
      </c>
      <c r="G17" s="180">
        <f t="shared" si="0"/>
        <v>516.77000000000044</v>
      </c>
      <c r="H17" s="180"/>
      <c r="I17" s="19" t="s">
        <v>95</v>
      </c>
      <c r="N17" s="180"/>
      <c r="O17" s="180"/>
      <c r="P17" s="182"/>
      <c r="S17" s="172"/>
    </row>
    <row r="18" spans="2:19" s="170" customFormat="1" ht="21.95" hidden="1" customHeight="1" x14ac:dyDescent="0.25">
      <c r="B18" s="460">
        <f t="shared" si="1"/>
        <v>16</v>
      </c>
      <c r="C18" s="36" t="s">
        <v>19</v>
      </c>
      <c r="D18" s="180"/>
      <c r="E18" s="181">
        <v>240015</v>
      </c>
      <c r="F18" s="180">
        <v>303706.28999999998</v>
      </c>
      <c r="G18" s="180">
        <f t="shared" si="0"/>
        <v>63691.289999999979</v>
      </c>
      <c r="H18" s="180"/>
      <c r="I18" s="19" t="s">
        <v>95</v>
      </c>
      <c r="N18" s="180"/>
      <c r="O18" s="180"/>
      <c r="P18" s="182"/>
      <c r="S18" s="172"/>
    </row>
    <row r="19" spans="2:19" s="170" customFormat="1" ht="21.95" hidden="1" customHeight="1" x14ac:dyDescent="0.25">
      <c r="B19" s="460">
        <f t="shared" si="1"/>
        <v>17</v>
      </c>
      <c r="C19" s="36" t="s">
        <v>20</v>
      </c>
      <c r="D19" s="180"/>
      <c r="E19" s="181">
        <v>228163</v>
      </c>
      <c r="F19" s="180">
        <v>276267.7</v>
      </c>
      <c r="G19" s="180">
        <f t="shared" si="0"/>
        <v>48104.700000000012</v>
      </c>
      <c r="H19" s="180"/>
      <c r="I19" s="19" t="s">
        <v>95</v>
      </c>
      <c r="N19" s="180"/>
      <c r="O19" s="180"/>
      <c r="P19" s="182"/>
      <c r="S19" s="172"/>
    </row>
    <row r="20" spans="2:19" s="170" customFormat="1" ht="21.95" hidden="1" customHeight="1" x14ac:dyDescent="0.25">
      <c r="B20" s="460">
        <f t="shared" si="1"/>
        <v>18</v>
      </c>
      <c r="C20" s="36" t="s">
        <v>21</v>
      </c>
      <c r="D20" s="180"/>
      <c r="E20" s="181">
        <v>114</v>
      </c>
      <c r="F20" s="180">
        <v>30290.98</v>
      </c>
      <c r="G20" s="180">
        <f t="shared" si="0"/>
        <v>30176.98</v>
      </c>
      <c r="H20" s="180"/>
      <c r="I20" s="19" t="s">
        <v>95</v>
      </c>
      <c r="N20" s="180"/>
      <c r="O20" s="180"/>
      <c r="P20" s="182"/>
      <c r="S20" s="172"/>
    </row>
    <row r="21" spans="2:19" s="170" customFormat="1" ht="21.95" hidden="1" customHeight="1" x14ac:dyDescent="0.25">
      <c r="B21" s="460">
        <f t="shared" si="1"/>
        <v>19</v>
      </c>
      <c r="C21" s="36" t="s">
        <v>22</v>
      </c>
      <c r="D21" s="180"/>
      <c r="E21" s="181">
        <v>183</v>
      </c>
      <c r="F21" s="180">
        <v>31799.360000000001</v>
      </c>
      <c r="G21" s="180">
        <f t="shared" si="0"/>
        <v>31616.36</v>
      </c>
      <c r="H21" s="180"/>
      <c r="I21" s="19" t="s">
        <v>95</v>
      </c>
      <c r="N21" s="180"/>
      <c r="O21" s="180"/>
      <c r="P21" s="182"/>
      <c r="S21" s="172"/>
    </row>
    <row r="22" spans="2:19" s="170" customFormat="1" ht="21.95" hidden="1" customHeight="1" x14ac:dyDescent="0.25">
      <c r="B22" s="460">
        <f t="shared" si="1"/>
        <v>20</v>
      </c>
      <c r="C22" s="469" t="s">
        <v>23</v>
      </c>
      <c r="D22" s="470">
        <v>0</v>
      </c>
      <c r="E22" s="471">
        <f>SUM(E10:E21)+2</f>
        <v>2515958</v>
      </c>
      <c r="F22" s="470">
        <f>SUM(F10:F21)</f>
        <v>3759361.93</v>
      </c>
      <c r="G22" s="180">
        <f t="shared" si="0"/>
        <v>1243403.9300000002</v>
      </c>
      <c r="H22" s="470">
        <f>SUM(H10:H21)</f>
        <v>0</v>
      </c>
      <c r="I22" s="19" t="s">
        <v>95</v>
      </c>
      <c r="N22" s="470">
        <f>SUM(N10:N21)</f>
        <v>0</v>
      </c>
      <c r="O22" s="470">
        <f>SUM(O10:O21)</f>
        <v>0</v>
      </c>
      <c r="P22" s="472"/>
      <c r="S22" s="172"/>
    </row>
    <row r="23" spans="2:19" s="170" customFormat="1" ht="21.95" hidden="1" customHeight="1" x14ac:dyDescent="0.25">
      <c r="B23" s="460">
        <f t="shared" si="1"/>
        <v>21</v>
      </c>
      <c r="C23" s="36" t="s">
        <v>24</v>
      </c>
      <c r="D23" s="180"/>
      <c r="E23" s="181">
        <v>12351</v>
      </c>
      <c r="F23" s="180">
        <v>15570.77</v>
      </c>
      <c r="G23" s="180">
        <f t="shared" si="0"/>
        <v>3219.7700000000004</v>
      </c>
      <c r="H23" s="180"/>
      <c r="I23" s="19" t="s">
        <v>95</v>
      </c>
      <c r="N23" s="180"/>
      <c r="O23" s="180"/>
      <c r="P23" s="182"/>
      <c r="S23" s="172"/>
    </row>
    <row r="24" spans="2:19" s="170" customFormat="1" ht="21.95" hidden="1" customHeight="1" x14ac:dyDescent="0.25">
      <c r="B24" s="460">
        <f t="shared" si="1"/>
        <v>22</v>
      </c>
      <c r="C24" s="36" t="s">
        <v>25</v>
      </c>
      <c r="D24" s="180"/>
      <c r="E24" s="181">
        <v>549974</v>
      </c>
      <c r="F24" s="180">
        <v>747081.28</v>
      </c>
      <c r="G24" s="180">
        <f t="shared" si="0"/>
        <v>197107.28000000003</v>
      </c>
      <c r="H24" s="180"/>
      <c r="I24" s="19" t="s">
        <v>95</v>
      </c>
      <c r="N24" s="180"/>
      <c r="O24" s="180"/>
      <c r="P24" s="182"/>
      <c r="S24" s="172"/>
    </row>
    <row r="25" spans="2:19" s="170" customFormat="1" ht="21.95" hidden="1" customHeight="1" x14ac:dyDescent="0.25">
      <c r="B25" s="460">
        <f t="shared" si="1"/>
        <v>23</v>
      </c>
      <c r="C25" s="469" t="s">
        <v>26</v>
      </c>
      <c r="D25" s="470">
        <v>0</v>
      </c>
      <c r="E25" s="471">
        <f>SUM(E23:E24)</f>
        <v>562325</v>
      </c>
      <c r="F25" s="470">
        <f>SUM(F23:F24)</f>
        <v>762652.05</v>
      </c>
      <c r="G25" s="180">
        <f t="shared" si="0"/>
        <v>200327.05000000005</v>
      </c>
      <c r="H25" s="471">
        <f>SUM(H23:H24)</f>
        <v>0</v>
      </c>
      <c r="I25" s="19" t="s">
        <v>95</v>
      </c>
      <c r="N25" s="471">
        <f>SUM(N23:N24)</f>
        <v>0</v>
      </c>
      <c r="O25" s="471">
        <f>SUM(O23:O24)</f>
        <v>0</v>
      </c>
      <c r="P25" s="473"/>
      <c r="S25" s="172"/>
    </row>
    <row r="26" spans="2:19" s="170" customFormat="1" ht="21.95" hidden="1" customHeight="1" x14ac:dyDescent="0.25">
      <c r="B26" s="460">
        <f t="shared" si="1"/>
        <v>24</v>
      </c>
      <c r="C26" s="36" t="s">
        <v>27</v>
      </c>
      <c r="D26" s="28">
        <v>0</v>
      </c>
      <c r="E26" s="188">
        <v>65575</v>
      </c>
      <c r="F26" s="28">
        <v>0</v>
      </c>
      <c r="G26" s="180">
        <f t="shared" si="0"/>
        <v>-65575</v>
      </c>
      <c r="H26" s="28"/>
      <c r="I26" s="19" t="s">
        <v>95</v>
      </c>
      <c r="N26" s="28"/>
      <c r="O26" s="28"/>
      <c r="P26" s="189"/>
      <c r="S26" s="172"/>
    </row>
    <row r="27" spans="2:19" s="170" customFormat="1" ht="21.95" hidden="1" customHeight="1" x14ac:dyDescent="0.25">
      <c r="B27" s="460">
        <f t="shared" si="1"/>
        <v>25</v>
      </c>
      <c r="C27" s="36" t="s">
        <v>28</v>
      </c>
      <c r="D27" s="28">
        <v>0</v>
      </c>
      <c r="E27" s="188">
        <v>26240</v>
      </c>
      <c r="F27" s="28">
        <v>0</v>
      </c>
      <c r="G27" s="180">
        <f t="shared" si="0"/>
        <v>-26240</v>
      </c>
      <c r="H27" s="28"/>
      <c r="I27" s="19" t="s">
        <v>95</v>
      </c>
      <c r="N27" s="28"/>
      <c r="O27" s="28"/>
      <c r="P27" s="189"/>
      <c r="S27" s="172"/>
    </row>
    <row r="28" spans="2:19" s="170" customFormat="1" ht="21.95" hidden="1" customHeight="1" x14ac:dyDescent="0.25">
      <c r="B28" s="460">
        <f t="shared" si="1"/>
        <v>26</v>
      </c>
      <c r="C28" s="36" t="s">
        <v>29</v>
      </c>
      <c r="D28" s="180"/>
      <c r="E28" s="181">
        <v>20996</v>
      </c>
      <c r="F28" s="180">
        <v>73081.87</v>
      </c>
      <c r="G28" s="180">
        <f t="shared" si="0"/>
        <v>52085.869999999995</v>
      </c>
      <c r="H28" s="180"/>
      <c r="I28" s="19" t="s">
        <v>95</v>
      </c>
      <c r="N28" s="180"/>
      <c r="O28" s="180"/>
      <c r="P28" s="182"/>
      <c r="S28" s="172"/>
    </row>
    <row r="29" spans="2:19" s="170" customFormat="1" ht="21.95" hidden="1" customHeight="1" x14ac:dyDescent="0.25">
      <c r="B29" s="460">
        <f t="shared" si="1"/>
        <v>27</v>
      </c>
      <c r="C29" s="469" t="s">
        <v>30</v>
      </c>
      <c r="D29" s="470">
        <v>0</v>
      </c>
      <c r="E29" s="471">
        <f>SUM(E26:E28)+1</f>
        <v>112812</v>
      </c>
      <c r="F29" s="470">
        <f>SUM(F26:F28)</f>
        <v>73081.87</v>
      </c>
      <c r="G29" s="180">
        <f t="shared" si="0"/>
        <v>-39730.130000000005</v>
      </c>
      <c r="H29" s="471">
        <f>SUM(H26:H28)</f>
        <v>0</v>
      </c>
      <c r="I29" s="19" t="s">
        <v>95</v>
      </c>
      <c r="N29" s="471">
        <f>SUM(N26:N28)</f>
        <v>0</v>
      </c>
      <c r="O29" s="471">
        <f>SUM(O26:O28)</f>
        <v>0</v>
      </c>
      <c r="P29" s="473"/>
      <c r="S29" s="172"/>
    </row>
    <row r="30" spans="2:19" s="170" customFormat="1" ht="21.95" hidden="1" customHeight="1" x14ac:dyDescent="0.25">
      <c r="B30" s="460">
        <f t="shared" si="1"/>
        <v>28</v>
      </c>
      <c r="C30" s="36" t="s">
        <v>31</v>
      </c>
      <c r="D30" s="180"/>
      <c r="E30" s="181">
        <v>21011</v>
      </c>
      <c r="F30" s="180">
        <v>33347.15</v>
      </c>
      <c r="G30" s="180">
        <f t="shared" si="0"/>
        <v>12336.150000000001</v>
      </c>
      <c r="H30" s="180"/>
      <c r="I30" s="19" t="s">
        <v>95</v>
      </c>
      <c r="N30" s="180"/>
      <c r="O30" s="180"/>
      <c r="P30" s="182"/>
      <c r="S30" s="172"/>
    </row>
    <row r="31" spans="2:19" s="170" customFormat="1" ht="21.95" hidden="1" customHeight="1" x14ac:dyDescent="0.25">
      <c r="B31" s="460">
        <f t="shared" si="1"/>
        <v>29</v>
      </c>
      <c r="C31" s="36" t="s">
        <v>32</v>
      </c>
      <c r="D31" s="180"/>
      <c r="E31" s="181">
        <v>4820</v>
      </c>
      <c r="F31" s="180">
        <v>10655.7</v>
      </c>
      <c r="G31" s="180">
        <f t="shared" si="0"/>
        <v>5835.7000000000007</v>
      </c>
      <c r="H31" s="180"/>
      <c r="I31" s="19" t="s">
        <v>95</v>
      </c>
      <c r="N31" s="180"/>
      <c r="O31" s="180"/>
      <c r="P31" s="182"/>
      <c r="S31" s="172"/>
    </row>
    <row r="32" spans="2:19" s="170" customFormat="1" ht="21.95" hidden="1" customHeight="1" x14ac:dyDescent="0.25">
      <c r="B32" s="460">
        <f t="shared" si="1"/>
        <v>30</v>
      </c>
      <c r="C32" s="36" t="s">
        <v>33</v>
      </c>
      <c r="D32" s="180"/>
      <c r="E32" s="181">
        <v>42</v>
      </c>
      <c r="F32" s="180">
        <v>369.67</v>
      </c>
      <c r="G32" s="180">
        <f t="shared" si="0"/>
        <v>327.67</v>
      </c>
      <c r="H32" s="180"/>
      <c r="I32" s="19" t="s">
        <v>95</v>
      </c>
      <c r="N32" s="180"/>
      <c r="O32" s="180"/>
      <c r="P32" s="182"/>
      <c r="S32" s="172"/>
    </row>
    <row r="33" spans="2:30" s="170" customFormat="1" ht="21.95" hidden="1" customHeight="1" x14ac:dyDescent="0.25">
      <c r="B33" s="460">
        <f t="shared" si="1"/>
        <v>31</v>
      </c>
      <c r="C33" s="36" t="s">
        <v>34</v>
      </c>
      <c r="D33" s="180"/>
      <c r="E33" s="181">
        <v>14508</v>
      </c>
      <c r="F33" s="180">
        <v>13750.35</v>
      </c>
      <c r="G33" s="180">
        <f t="shared" si="0"/>
        <v>-757.64999999999964</v>
      </c>
      <c r="H33" s="180"/>
      <c r="I33" s="19" t="s">
        <v>95</v>
      </c>
      <c r="N33" s="180"/>
      <c r="O33" s="180"/>
      <c r="P33" s="182"/>
      <c r="S33" s="172"/>
    </row>
    <row r="34" spans="2:30" s="170" customFormat="1" ht="21.95" hidden="1" customHeight="1" x14ac:dyDescent="0.25">
      <c r="B34" s="460">
        <f t="shared" si="1"/>
        <v>32</v>
      </c>
      <c r="C34" s="36" t="s">
        <v>35</v>
      </c>
      <c r="D34" s="180"/>
      <c r="E34" s="181">
        <v>163967</v>
      </c>
      <c r="F34" s="180">
        <v>194146.78</v>
      </c>
      <c r="G34" s="180">
        <f t="shared" si="0"/>
        <v>30179.78</v>
      </c>
      <c r="H34" s="180"/>
      <c r="I34" s="19" t="s">
        <v>95</v>
      </c>
      <c r="N34" s="180"/>
      <c r="O34" s="180"/>
      <c r="P34" s="182"/>
      <c r="S34" s="172"/>
    </row>
    <row r="35" spans="2:30" s="170" customFormat="1" ht="21.95" hidden="1" customHeight="1" x14ac:dyDescent="0.25">
      <c r="B35" s="460">
        <f t="shared" si="1"/>
        <v>33</v>
      </c>
      <c r="C35" s="29" t="s">
        <v>36</v>
      </c>
      <c r="D35" s="28"/>
      <c r="E35" s="188">
        <v>93869</v>
      </c>
      <c r="F35" s="28">
        <v>200000</v>
      </c>
      <c r="G35" s="180">
        <f t="shared" si="0"/>
        <v>106131</v>
      </c>
      <c r="H35" s="28"/>
      <c r="I35" s="19" t="s">
        <v>95</v>
      </c>
      <c r="N35" s="28"/>
      <c r="O35" s="28"/>
      <c r="P35" s="189"/>
      <c r="S35" s="172"/>
    </row>
    <row r="36" spans="2:30" s="170" customFormat="1" ht="21.95" hidden="1" customHeight="1" x14ac:dyDescent="0.25">
      <c r="B36" s="460">
        <f t="shared" si="1"/>
        <v>34</v>
      </c>
      <c r="C36" s="474" t="s">
        <v>37</v>
      </c>
      <c r="D36" s="475">
        <v>1800000</v>
      </c>
      <c r="E36" s="476">
        <f>SUM(E37)</f>
        <v>1200000</v>
      </c>
      <c r="F36" s="475">
        <f>SUM(F37)</f>
        <v>1550000</v>
      </c>
      <c r="G36" s="475">
        <f t="shared" si="0"/>
        <v>350000</v>
      </c>
      <c r="H36" s="475">
        <f>SUM(H37)</f>
        <v>1800000</v>
      </c>
      <c r="I36" s="19" t="s">
        <v>95</v>
      </c>
      <c r="J36" s="179"/>
      <c r="K36" s="179"/>
      <c r="L36" s="179"/>
      <c r="M36" s="179"/>
      <c r="N36" s="475">
        <f>SUM(N37)</f>
        <v>1800000</v>
      </c>
      <c r="O36" s="475">
        <f>SUM(O37)</f>
        <v>1800000</v>
      </c>
      <c r="P36" s="477"/>
      <c r="Q36" s="179"/>
      <c r="R36" s="179"/>
      <c r="S36" s="195"/>
      <c r="T36" s="179"/>
      <c r="U36" s="179"/>
      <c r="V36" s="179"/>
      <c r="W36" s="179"/>
      <c r="X36" s="179"/>
      <c r="Y36" s="179"/>
      <c r="Z36" s="179"/>
      <c r="AA36" s="179"/>
      <c r="AB36" s="179"/>
      <c r="AC36" s="179"/>
      <c r="AD36" s="179"/>
    </row>
    <row r="37" spans="2:30" s="170" customFormat="1" ht="21.95" hidden="1" customHeight="1" x14ac:dyDescent="0.25">
      <c r="B37" s="460">
        <f t="shared" si="1"/>
        <v>35</v>
      </c>
      <c r="C37" s="196" t="s">
        <v>38</v>
      </c>
      <c r="D37" s="197"/>
      <c r="E37" s="198">
        <v>1200000</v>
      </c>
      <c r="F37" s="197">
        <v>1550000</v>
      </c>
      <c r="G37" s="197">
        <f t="shared" si="0"/>
        <v>350000</v>
      </c>
      <c r="H37" s="197">
        <v>1800000</v>
      </c>
      <c r="I37" s="19" t="s">
        <v>95</v>
      </c>
      <c r="N37" s="197">
        <v>1800000</v>
      </c>
      <c r="O37" s="197">
        <v>1800000</v>
      </c>
      <c r="P37" s="199"/>
      <c r="S37" s="172"/>
    </row>
    <row r="38" spans="2:30" s="170" customFormat="1" ht="21.95" hidden="1" customHeight="1" x14ac:dyDescent="0.25">
      <c r="B38" s="460"/>
      <c r="C38" s="478" t="s">
        <v>687</v>
      </c>
      <c r="D38" s="479"/>
      <c r="E38" s="480"/>
      <c r="F38" s="479"/>
      <c r="G38" s="479"/>
      <c r="H38" s="479">
        <f>'[1]previsione SMS 22-23-24'!B43</f>
        <v>611267.12328767125</v>
      </c>
      <c r="I38" s="19" t="s">
        <v>95</v>
      </c>
      <c r="J38" s="479">
        <f>SUM(580000+90000)/12*11</f>
        <v>614166.66666666674</v>
      </c>
      <c r="N38" s="479">
        <f>'[1]previsione SMS 22-23-24'!E43</f>
        <v>686500</v>
      </c>
      <c r="O38" s="479">
        <f>'[1]previsione SMS 22-23-24'!H43</f>
        <v>686500</v>
      </c>
      <c r="P38" s="481"/>
      <c r="S38" s="172"/>
    </row>
    <row r="39" spans="2:30" s="170" customFormat="1" ht="21.95" hidden="1" customHeight="1" x14ac:dyDescent="0.25">
      <c r="B39" s="460">
        <f>B37+1</f>
        <v>36</v>
      </c>
      <c r="C39" s="27" t="s">
        <v>39</v>
      </c>
      <c r="D39" s="180"/>
      <c r="E39" s="181"/>
      <c r="F39" s="180"/>
      <c r="G39" s="180"/>
      <c r="H39" s="180"/>
      <c r="I39" s="19" t="s">
        <v>95</v>
      </c>
      <c r="N39" s="180"/>
      <c r="O39" s="180"/>
      <c r="P39" s="182"/>
      <c r="S39" s="172"/>
    </row>
    <row r="40" spans="2:30" s="170" customFormat="1" ht="21.95" hidden="1" customHeight="1" x14ac:dyDescent="0.25">
      <c r="B40" s="460">
        <f>B39+1</f>
        <v>37</v>
      </c>
      <c r="C40" s="461" t="s">
        <v>39</v>
      </c>
      <c r="D40" s="462">
        <v>472881.23</v>
      </c>
      <c r="E40" s="463">
        <f>E41+E65</f>
        <v>552590</v>
      </c>
      <c r="F40" s="462">
        <f>F41+F65</f>
        <v>570263.77999999991</v>
      </c>
      <c r="G40" s="462">
        <f t="shared" ref="G40:G63" si="2">F40-E40</f>
        <v>17673.779999999912</v>
      </c>
      <c r="H40" s="462">
        <f>H41+H65+H71</f>
        <v>126838.04999999999</v>
      </c>
      <c r="I40" s="19" t="s">
        <v>95</v>
      </c>
      <c r="N40" s="462">
        <f>N41+N65+N71</f>
        <v>250668.31999999998</v>
      </c>
      <c r="O40" s="462">
        <f>O41+O65+O71</f>
        <v>126834.15999999999</v>
      </c>
      <c r="P40" s="464"/>
      <c r="S40" s="172"/>
    </row>
    <row r="41" spans="2:30" s="170" customFormat="1" ht="21.95" hidden="1" customHeight="1" x14ac:dyDescent="0.25">
      <c r="B41" s="460">
        <f>B40+1</f>
        <v>38</v>
      </c>
      <c r="C41" s="465" t="s">
        <v>40</v>
      </c>
      <c r="D41" s="465">
        <v>472539.56</v>
      </c>
      <c r="E41" s="482">
        <f>E42+E46</f>
        <v>547074</v>
      </c>
      <c r="F41" s="483">
        <f>F42+F46</f>
        <v>566774.1399999999</v>
      </c>
      <c r="G41" s="483">
        <f t="shared" si="2"/>
        <v>19700.139999999898</v>
      </c>
      <c r="H41" s="482">
        <f>H42+H46</f>
        <v>123837.73999999999</v>
      </c>
      <c r="I41" s="19" t="s">
        <v>95</v>
      </c>
      <c r="N41" s="482">
        <f>N42+N46</f>
        <v>247668.31999999998</v>
      </c>
      <c r="O41" s="482">
        <f>O42+O46</f>
        <v>123834.15999999999</v>
      </c>
      <c r="P41" s="484"/>
      <c r="S41" s="172"/>
    </row>
    <row r="42" spans="2:30" s="170" customFormat="1" ht="21.95" hidden="1" customHeight="1" x14ac:dyDescent="0.25">
      <c r="B42" s="485"/>
      <c r="C42" s="486" t="s">
        <v>688</v>
      </c>
      <c r="D42" s="197"/>
      <c r="E42" s="411">
        <f>SUM(E43:E45)</f>
        <v>0</v>
      </c>
      <c r="F42" s="385">
        <f>SUM(F43:F45)</f>
        <v>264953</v>
      </c>
      <c r="G42" s="197">
        <f t="shared" si="2"/>
        <v>264953</v>
      </c>
      <c r="H42" s="215">
        <f>SUM(H43:H45)</f>
        <v>0</v>
      </c>
      <c r="I42" s="19" t="s">
        <v>95</v>
      </c>
      <c r="N42" s="215">
        <f>SUM(N43:N45)</f>
        <v>0</v>
      </c>
      <c r="O42" s="215">
        <f>SUM(O43:O45)</f>
        <v>0</v>
      </c>
      <c r="P42" s="216"/>
      <c r="S42" s="172"/>
    </row>
    <row r="43" spans="2:30" s="170" customFormat="1" ht="21.95" hidden="1" customHeight="1" x14ac:dyDescent="0.25">
      <c r="B43" s="485">
        <f>B59+1</f>
        <v>52</v>
      </c>
      <c r="C43" s="196" t="s">
        <v>689</v>
      </c>
      <c r="D43" s="197">
        <v>179286</v>
      </c>
      <c r="E43" s="198"/>
      <c r="F43" s="197">
        <v>179286</v>
      </c>
      <c r="G43" s="197">
        <f t="shared" si="2"/>
        <v>179286</v>
      </c>
      <c r="H43" s="217">
        <f>'[1]64,05,519 CONTR.FO.PERDUTO'!P1</f>
        <v>0</v>
      </c>
      <c r="I43" s="19" t="s">
        <v>95</v>
      </c>
      <c r="N43" s="217">
        <f>'[1]64,05,519 CONTR.FO.PERDUTO'!V1</f>
        <v>0</v>
      </c>
      <c r="O43" s="217">
        <f>'[1]64,05,519 CONTR.FO.PERDUTO'!W1</f>
        <v>0</v>
      </c>
      <c r="P43" s="199"/>
      <c r="S43" s="172"/>
    </row>
    <row r="44" spans="2:30" s="170" customFormat="1" ht="21.95" hidden="1" customHeight="1" x14ac:dyDescent="0.25">
      <c r="B44" s="485"/>
      <c r="C44" s="196" t="s">
        <v>690</v>
      </c>
      <c r="D44" s="197"/>
      <c r="E44" s="198"/>
      <c r="F44" s="197">
        <v>5318</v>
      </c>
      <c r="G44" s="197">
        <f t="shared" si="2"/>
        <v>5318</v>
      </c>
      <c r="H44" s="217"/>
      <c r="I44" s="19" t="s">
        <v>95</v>
      </c>
      <c r="N44" s="217"/>
      <c r="O44" s="217"/>
      <c r="P44" s="199"/>
      <c r="S44" s="172"/>
    </row>
    <row r="45" spans="2:30" s="170" customFormat="1" ht="21.95" hidden="1" customHeight="1" x14ac:dyDescent="0.25">
      <c r="B45" s="485"/>
      <c r="C45" s="196" t="s">
        <v>691</v>
      </c>
      <c r="D45" s="218"/>
      <c r="E45" s="198"/>
      <c r="F45" s="197">
        <v>80349</v>
      </c>
      <c r="G45" s="197">
        <f t="shared" si="2"/>
        <v>80349</v>
      </c>
      <c r="H45" s="219"/>
      <c r="I45" s="19" t="s">
        <v>95</v>
      </c>
      <c r="N45" s="219"/>
      <c r="O45" s="219"/>
      <c r="P45" s="220"/>
      <c r="S45" s="172"/>
    </row>
    <row r="46" spans="2:30" s="170" customFormat="1" ht="21.95" hidden="1" customHeight="1" x14ac:dyDescent="0.25">
      <c r="B46" s="485"/>
      <c r="C46" s="486" t="s">
        <v>692</v>
      </c>
      <c r="D46" s="218"/>
      <c r="E46" s="411">
        <f>SUM(E47:E63)</f>
        <v>547074</v>
      </c>
      <c r="F46" s="385">
        <f>SUM(F47:F63)</f>
        <v>301821.13999999996</v>
      </c>
      <c r="G46" s="385">
        <f t="shared" si="2"/>
        <v>-245252.86000000004</v>
      </c>
      <c r="H46" s="487">
        <f>SUM(H47:M64)</f>
        <v>123837.73999999999</v>
      </c>
      <c r="I46" s="19" t="s">
        <v>95</v>
      </c>
      <c r="N46" s="487">
        <f>SUM(N47:U64)</f>
        <v>247668.31999999998</v>
      </c>
      <c r="O46" s="487">
        <f>SUM(O47:V64)</f>
        <v>123834.15999999999</v>
      </c>
      <c r="P46" s="488"/>
      <c r="S46" s="172"/>
    </row>
    <row r="47" spans="2:30" s="170" customFormat="1" ht="21.95" hidden="1" customHeight="1" x14ac:dyDescent="0.25">
      <c r="B47" s="460">
        <f>B41+1</f>
        <v>39</v>
      </c>
      <c r="C47" s="225" t="s">
        <v>693</v>
      </c>
      <c r="D47" s="197">
        <v>3</v>
      </c>
      <c r="E47" s="198">
        <v>2</v>
      </c>
      <c r="F47" s="197">
        <v>1.9</v>
      </c>
      <c r="G47" s="197">
        <f t="shared" si="2"/>
        <v>-0.10000000000000009</v>
      </c>
      <c r="H47" s="217">
        <f>'[1]64,05,100 ABBUONI E ARROTOND.IM'!P1</f>
        <v>3.58</v>
      </c>
      <c r="I47" s="19" t="s">
        <v>95</v>
      </c>
      <c r="N47" s="217">
        <f>'[1]64,05,100 ABBUONI E ARROTOND.IM'!V1</f>
        <v>0</v>
      </c>
      <c r="O47" s="217">
        <f>'[1]64,05,100 ABBUONI E ARROTOND.IM'!W1</f>
        <v>0</v>
      </c>
      <c r="P47" s="199"/>
      <c r="S47" s="172"/>
    </row>
    <row r="48" spans="2:30" s="170" customFormat="1" ht="21.95" hidden="1" customHeight="1" x14ac:dyDescent="0.25">
      <c r="B48" s="485">
        <f t="shared" ref="B48:B59" si="3">B47+1</f>
        <v>40</v>
      </c>
      <c r="C48" s="196" t="s">
        <v>42</v>
      </c>
      <c r="D48" s="197">
        <v>30447.16</v>
      </c>
      <c r="E48" s="198">
        <v>13315</v>
      </c>
      <c r="F48" s="197">
        <v>28649.61</v>
      </c>
      <c r="G48" s="197">
        <f t="shared" si="2"/>
        <v>15334.61</v>
      </c>
      <c r="H48" s="217">
        <f>'[1]64,05,501 prov.pubbl'!P1</f>
        <v>28649.61</v>
      </c>
      <c r="I48" s="19" t="s">
        <v>95</v>
      </c>
      <c r="N48" s="217">
        <f>H48</f>
        <v>28649.61</v>
      </c>
      <c r="O48" s="217">
        <f>N48</f>
        <v>28649.61</v>
      </c>
      <c r="P48" s="199"/>
      <c r="S48" s="172"/>
    </row>
    <row r="49" spans="2:19" s="170" customFormat="1" ht="21.95" hidden="1" customHeight="1" x14ac:dyDescent="0.25">
      <c r="B49" s="485">
        <f t="shared" si="3"/>
        <v>41</v>
      </c>
      <c r="C49" s="196" t="s">
        <v>43</v>
      </c>
      <c r="D49" s="197">
        <v>9523</v>
      </c>
      <c r="E49" s="198">
        <v>22310</v>
      </c>
      <c r="F49" s="197">
        <v>24728.44</v>
      </c>
      <c r="G49" s="197">
        <f t="shared" si="2"/>
        <v>2418.4399999999987</v>
      </c>
      <c r="H49" s="217">
        <v>15000</v>
      </c>
      <c r="I49" s="19" t="s">
        <v>95</v>
      </c>
      <c r="N49" s="217">
        <v>15000</v>
      </c>
      <c r="O49" s="217">
        <v>15000</v>
      </c>
      <c r="P49" s="199"/>
      <c r="S49" s="172"/>
    </row>
    <row r="50" spans="2:19" s="170" customFormat="1" ht="21.95" hidden="1" customHeight="1" x14ac:dyDescent="0.25">
      <c r="B50" s="485">
        <f t="shared" si="3"/>
        <v>42</v>
      </c>
      <c r="C50" s="196" t="s">
        <v>44</v>
      </c>
      <c r="D50" s="197">
        <v>24000</v>
      </c>
      <c r="E50" s="198">
        <v>24000</v>
      </c>
      <c r="F50" s="197">
        <v>24000</v>
      </c>
      <c r="G50" s="197">
        <f t="shared" si="2"/>
        <v>0</v>
      </c>
      <c r="H50" s="217">
        <f>'[1]64,05,503 proventi vari'!P1</f>
        <v>24000</v>
      </c>
      <c r="I50" s="19" t="s">
        <v>95</v>
      </c>
      <c r="N50" s="217">
        <f>H50</f>
        <v>24000</v>
      </c>
      <c r="O50" s="217">
        <f>N50</f>
        <v>24000</v>
      </c>
      <c r="P50" s="199"/>
      <c r="S50" s="172"/>
    </row>
    <row r="51" spans="2:19" s="170" customFormat="1" ht="21.95" hidden="1" customHeight="1" x14ac:dyDescent="0.25">
      <c r="B51" s="485">
        <f t="shared" si="3"/>
        <v>43</v>
      </c>
      <c r="C51" s="196" t="s">
        <v>694</v>
      </c>
      <c r="D51" s="197">
        <v>28892</v>
      </c>
      <c r="E51" s="198"/>
      <c r="F51" s="197">
        <v>16832.150000000001</v>
      </c>
      <c r="G51" s="197">
        <f t="shared" si="2"/>
        <v>16832.150000000001</v>
      </c>
      <c r="H51" s="217">
        <v>13800</v>
      </c>
      <c r="I51" s="19" t="s">
        <v>95</v>
      </c>
      <c r="N51" s="217">
        <v>13800</v>
      </c>
      <c r="O51" s="217">
        <v>13800</v>
      </c>
      <c r="P51" s="199"/>
      <c r="Q51" s="170" t="s">
        <v>695</v>
      </c>
      <c r="S51" s="172"/>
    </row>
    <row r="52" spans="2:19" s="170" customFormat="1" ht="21.95" hidden="1" customHeight="1" x14ac:dyDescent="0.25">
      <c r="B52" s="485">
        <f t="shared" si="3"/>
        <v>44</v>
      </c>
      <c r="C52" s="196" t="s">
        <v>45</v>
      </c>
      <c r="D52" s="197">
        <v>9356</v>
      </c>
      <c r="E52" s="198">
        <v>1428</v>
      </c>
      <c r="F52" s="197">
        <v>9913.4</v>
      </c>
      <c r="G52" s="197">
        <f t="shared" si="2"/>
        <v>8485.4</v>
      </c>
      <c r="H52" s="217">
        <f>'[1]64,05,507 soprav.att.cau'!P1</f>
        <v>9913.4</v>
      </c>
      <c r="I52" s="19" t="s">
        <v>95</v>
      </c>
      <c r="N52" s="217">
        <v>9913.4</v>
      </c>
      <c r="O52" s="217">
        <v>9913.4</v>
      </c>
      <c r="P52" s="199"/>
      <c r="S52" s="172"/>
    </row>
    <row r="53" spans="2:19" s="170" customFormat="1" ht="21.95" hidden="1" customHeight="1" x14ac:dyDescent="0.25">
      <c r="B53" s="485">
        <f t="shared" si="3"/>
        <v>45</v>
      </c>
      <c r="C53" s="196" t="s">
        <v>46</v>
      </c>
      <c r="D53" s="197">
        <v>1983</v>
      </c>
      <c r="E53" s="198">
        <v>1889</v>
      </c>
      <c r="F53" s="197">
        <v>2482.4</v>
      </c>
      <c r="G53" s="197">
        <f t="shared" si="2"/>
        <v>593.40000000000009</v>
      </c>
      <c r="H53" s="217">
        <f>'[1]64,05,508 soprav.att.parcometri'!P1</f>
        <v>2482.4</v>
      </c>
      <c r="I53" s="19" t="s">
        <v>95</v>
      </c>
      <c r="N53" s="217">
        <v>2482.4</v>
      </c>
      <c r="O53" s="217">
        <v>2482.4</v>
      </c>
      <c r="P53" s="199"/>
      <c r="S53" s="172"/>
    </row>
    <row r="54" spans="2:19" s="170" customFormat="1" ht="21.95" hidden="1" customHeight="1" x14ac:dyDescent="0.25">
      <c r="B54" s="485">
        <f t="shared" si="3"/>
        <v>46</v>
      </c>
      <c r="C54" s="196" t="s">
        <v>696</v>
      </c>
      <c r="D54" s="197">
        <v>0</v>
      </c>
      <c r="E54" s="198">
        <v>0</v>
      </c>
      <c r="F54" s="197">
        <v>0</v>
      </c>
      <c r="G54" s="197">
        <f t="shared" si="2"/>
        <v>0</v>
      </c>
      <c r="H54" s="217">
        <v>0</v>
      </c>
      <c r="I54" s="19" t="s">
        <v>95</v>
      </c>
      <c r="N54" s="217">
        <v>0</v>
      </c>
      <c r="O54" s="217">
        <v>0</v>
      </c>
      <c r="P54" s="199"/>
      <c r="S54" s="172"/>
    </row>
    <row r="55" spans="2:19" s="170" customFormat="1" ht="21.95" hidden="1" customHeight="1" x14ac:dyDescent="0.25">
      <c r="B55" s="485">
        <f t="shared" si="3"/>
        <v>47</v>
      </c>
      <c r="C55" s="196" t="s">
        <v>47</v>
      </c>
      <c r="D55" s="197">
        <v>150000</v>
      </c>
      <c r="E55" s="198">
        <v>250953</v>
      </c>
      <c r="F55" s="197">
        <v>150000</v>
      </c>
      <c r="G55" s="197">
        <f t="shared" si="2"/>
        <v>-100953</v>
      </c>
      <c r="H55" s="217">
        <f>'[1]64,05,510 sopr.att.fondo rischi'!P1</f>
        <v>0</v>
      </c>
      <c r="I55" s="19" t="s">
        <v>95</v>
      </c>
      <c r="N55" s="217">
        <f>'[1]64,05,510 sopr.att.fondo rischi'!V1</f>
        <v>0</v>
      </c>
      <c r="O55" s="217">
        <f>'[1]64,05,510 sopr.att.fondo rischi'!W1</f>
        <v>0</v>
      </c>
      <c r="P55" s="199"/>
      <c r="S55" s="172"/>
    </row>
    <row r="56" spans="2:19" s="170" customFormat="1" ht="21.95" hidden="1" customHeight="1" x14ac:dyDescent="0.25">
      <c r="B56" s="485">
        <f t="shared" si="3"/>
        <v>48</v>
      </c>
      <c r="C56" s="196" t="s">
        <v>48</v>
      </c>
      <c r="D56" s="197">
        <v>16528.8</v>
      </c>
      <c r="E56" s="198">
        <v>18249</v>
      </c>
      <c r="F56" s="197">
        <v>35085.89</v>
      </c>
      <c r="G56" s="197">
        <f t="shared" si="2"/>
        <v>16836.89</v>
      </c>
      <c r="H56" s="217">
        <f>'[1]64,05,512 soprav.attive indeduc'!P1</f>
        <v>15000</v>
      </c>
      <c r="I56" s="19" t="s">
        <v>95</v>
      </c>
      <c r="N56" s="217">
        <v>15000</v>
      </c>
      <c r="O56" s="217">
        <v>15000</v>
      </c>
      <c r="P56" s="199"/>
      <c r="S56" s="172"/>
    </row>
    <row r="57" spans="2:19" s="170" customFormat="1" ht="21.95" hidden="1" customHeight="1" x14ac:dyDescent="0.25">
      <c r="B57" s="485">
        <f t="shared" si="3"/>
        <v>49</v>
      </c>
      <c r="C57" s="196" t="s">
        <v>49</v>
      </c>
      <c r="D57" s="197">
        <v>0</v>
      </c>
      <c r="E57" s="198">
        <v>212640</v>
      </c>
      <c r="F57" s="197">
        <v>0</v>
      </c>
      <c r="G57" s="197">
        <f t="shared" si="2"/>
        <v>-212640</v>
      </c>
      <c r="H57" s="217" t="str">
        <f>'[1]6405514SOPRAV.ATT.STORN.P.F.M.'!P1</f>
        <v xml:space="preserve"> </v>
      </c>
      <c r="I57" s="19" t="s">
        <v>95</v>
      </c>
      <c r="N57" s="217">
        <f>'[1]6405514SOPRAV.ATT.STORN.P.F.M.'!V1</f>
        <v>0</v>
      </c>
      <c r="O57" s="217">
        <f>'[1]6405514SOPRAV.ATT.STORN.P.F.M.'!W1</f>
        <v>0</v>
      </c>
      <c r="P57" s="199"/>
      <c r="S57" s="172"/>
    </row>
    <row r="58" spans="2:19" s="170" customFormat="1" ht="21.95" hidden="1" customHeight="1" x14ac:dyDescent="0.25">
      <c r="B58" s="485">
        <f t="shared" si="3"/>
        <v>50</v>
      </c>
      <c r="C58" s="196" t="s">
        <v>50</v>
      </c>
      <c r="D58" s="197">
        <v>14122</v>
      </c>
      <c r="E58" s="198">
        <v>2230</v>
      </c>
      <c r="F58" s="197">
        <v>0</v>
      </c>
      <c r="G58" s="197">
        <f t="shared" si="2"/>
        <v>-2230</v>
      </c>
      <c r="H58" s="217"/>
      <c r="I58" s="19" t="s">
        <v>95</v>
      </c>
      <c r="N58" s="217"/>
      <c r="O58" s="217"/>
      <c r="P58" s="199"/>
      <c r="S58" s="172"/>
    </row>
    <row r="59" spans="2:19" s="170" customFormat="1" ht="21.95" hidden="1" customHeight="1" x14ac:dyDescent="0.25">
      <c r="B59" s="485">
        <f t="shared" si="3"/>
        <v>51</v>
      </c>
      <c r="C59" s="196" t="s">
        <v>51</v>
      </c>
      <c r="D59" s="197">
        <v>0</v>
      </c>
      <c r="E59" s="198">
        <v>58</v>
      </c>
      <c r="F59" s="197">
        <v>0</v>
      </c>
      <c r="G59" s="197">
        <f t="shared" si="2"/>
        <v>-58</v>
      </c>
      <c r="H59" s="217">
        <v>0</v>
      </c>
      <c r="I59" s="19" t="s">
        <v>95</v>
      </c>
      <c r="N59" s="217">
        <v>0</v>
      </c>
      <c r="O59" s="217">
        <v>0</v>
      </c>
      <c r="P59" s="199"/>
      <c r="S59" s="172"/>
    </row>
    <row r="60" spans="2:19" s="170" customFormat="1" ht="21.95" hidden="1" customHeight="1" x14ac:dyDescent="0.25">
      <c r="B60" s="485">
        <f>B62+1</f>
        <v>54</v>
      </c>
      <c r="C60" s="196" t="s">
        <v>697</v>
      </c>
      <c r="D60" s="197">
        <v>0</v>
      </c>
      <c r="E60" s="198"/>
      <c r="F60" s="197">
        <v>0</v>
      </c>
      <c r="G60" s="197">
        <f t="shared" si="2"/>
        <v>0</v>
      </c>
      <c r="H60" s="217">
        <v>0</v>
      </c>
      <c r="I60" s="19" t="s">
        <v>95</v>
      </c>
      <c r="N60" s="217">
        <v>0</v>
      </c>
      <c r="O60" s="217">
        <v>0</v>
      </c>
      <c r="P60" s="199"/>
      <c r="S60" s="172"/>
    </row>
    <row r="61" spans="2:19" s="170" customFormat="1" ht="21.95" hidden="1" customHeight="1" x14ac:dyDescent="0.25">
      <c r="B61" s="485">
        <f>B60+1</f>
        <v>55</v>
      </c>
      <c r="C61" s="196" t="s">
        <v>698</v>
      </c>
      <c r="D61" s="197">
        <v>7778.6</v>
      </c>
      <c r="E61" s="198"/>
      <c r="F61" s="197">
        <v>7778.6</v>
      </c>
      <c r="G61" s="197">
        <f t="shared" si="2"/>
        <v>7778.6</v>
      </c>
      <c r="H61" s="217">
        <v>7500</v>
      </c>
      <c r="I61" s="19" t="s">
        <v>95</v>
      </c>
      <c r="N61" s="217">
        <v>7500</v>
      </c>
      <c r="O61" s="217">
        <v>7500</v>
      </c>
      <c r="P61" s="199"/>
      <c r="S61" s="172"/>
    </row>
    <row r="62" spans="2:19" s="170" customFormat="1" ht="21.95" hidden="1" customHeight="1" x14ac:dyDescent="0.25">
      <c r="B62" s="485">
        <f>B43+1</f>
        <v>53</v>
      </c>
      <c r="C62" s="196" t="s">
        <v>699</v>
      </c>
      <c r="D62" s="197">
        <v>620</v>
      </c>
      <c r="E62" s="198"/>
      <c r="F62" s="197">
        <v>760</v>
      </c>
      <c r="G62" s="197">
        <f t="shared" si="2"/>
        <v>760</v>
      </c>
      <c r="H62" s="217">
        <f>'[1]64,05,520 SOPRAV. ATT. FAGIOLON'!P1</f>
        <v>900</v>
      </c>
      <c r="I62" s="19" t="s">
        <v>95</v>
      </c>
      <c r="N62" s="217">
        <v>900</v>
      </c>
      <c r="O62" s="217">
        <v>900</v>
      </c>
      <c r="P62" s="199"/>
      <c r="S62" s="172"/>
    </row>
    <row r="63" spans="2:19" s="170" customFormat="1" ht="21.95" hidden="1" customHeight="1" x14ac:dyDescent="0.25">
      <c r="B63" s="485"/>
      <c r="C63" s="196" t="s">
        <v>700</v>
      </c>
      <c r="D63" s="197"/>
      <c r="E63" s="198"/>
      <c r="F63" s="197">
        <v>1588.75</v>
      </c>
      <c r="G63" s="197">
        <f t="shared" si="2"/>
        <v>1588.75</v>
      </c>
      <c r="H63" s="197">
        <v>1588.75</v>
      </c>
      <c r="I63" s="19" t="s">
        <v>95</v>
      </c>
      <c r="N63" s="197">
        <v>1588.75</v>
      </c>
      <c r="O63" s="197">
        <v>1588.75</v>
      </c>
      <c r="P63" s="199"/>
      <c r="S63" s="172"/>
    </row>
    <row r="64" spans="2:19" s="170" customFormat="1" ht="21.95" hidden="1" customHeight="1" x14ac:dyDescent="0.25">
      <c r="B64" s="485"/>
      <c r="C64" s="226" t="s">
        <v>701</v>
      </c>
      <c r="D64" s="218"/>
      <c r="E64" s="227"/>
      <c r="F64" s="218"/>
      <c r="G64" s="218"/>
      <c r="H64" s="228">
        <v>5000</v>
      </c>
      <c r="I64" s="19"/>
      <c r="N64" s="228">
        <v>5000</v>
      </c>
      <c r="O64" s="228">
        <v>5000</v>
      </c>
      <c r="P64" s="229"/>
      <c r="S64" s="172"/>
    </row>
    <row r="65" spans="2:20" s="170" customFormat="1" ht="21.95" hidden="1" customHeight="1" x14ac:dyDescent="0.25">
      <c r="B65" s="485">
        <f>B61+1</f>
        <v>56</v>
      </c>
      <c r="C65" s="474" t="s">
        <v>52</v>
      </c>
      <c r="D65" s="475">
        <v>341.67</v>
      </c>
      <c r="E65" s="476">
        <f>SUM(E66:E69)</f>
        <v>5516</v>
      </c>
      <c r="F65" s="475">
        <f>SUM(F66:F69)</f>
        <v>3489.64</v>
      </c>
      <c r="G65" s="475">
        <f>F65-E65</f>
        <v>-2026.3600000000001</v>
      </c>
      <c r="H65" s="476">
        <f>SUM(H66:H70)</f>
        <v>3000.31</v>
      </c>
      <c r="I65" s="19" t="s">
        <v>95</v>
      </c>
      <c r="N65" s="476">
        <f>SUM(N66:N70)</f>
        <v>3000</v>
      </c>
      <c r="O65" s="476">
        <f>SUM(O66:O70)</f>
        <v>3000</v>
      </c>
      <c r="P65" s="489"/>
      <c r="S65" s="172"/>
    </row>
    <row r="66" spans="2:20" s="170" customFormat="1" ht="21.95" hidden="1" customHeight="1" x14ac:dyDescent="0.25">
      <c r="B66" s="485">
        <f>B65+1</f>
        <v>57</v>
      </c>
      <c r="C66" s="196" t="s">
        <v>53</v>
      </c>
      <c r="D66" s="197">
        <v>6.67</v>
      </c>
      <c r="E66" s="198">
        <v>3</v>
      </c>
      <c r="F66" s="197">
        <v>0.31</v>
      </c>
      <c r="G66" s="197">
        <f>F66-E66</f>
        <v>-2.69</v>
      </c>
      <c r="H66" s="217">
        <f>F66</f>
        <v>0.31</v>
      </c>
      <c r="I66" s="19" t="s">
        <v>95</v>
      </c>
      <c r="N66" s="217">
        <f>L66</f>
        <v>0</v>
      </c>
      <c r="O66" s="217">
        <f>M66</f>
        <v>0</v>
      </c>
      <c r="P66" s="199"/>
      <c r="S66" s="172"/>
    </row>
    <row r="67" spans="2:20" s="170" customFormat="1" ht="21.95" hidden="1" customHeight="1" x14ac:dyDescent="0.25">
      <c r="B67" s="485">
        <f>B66+1</f>
        <v>58</v>
      </c>
      <c r="C67" s="196" t="s">
        <v>702</v>
      </c>
      <c r="D67" s="197">
        <v>335</v>
      </c>
      <c r="E67" s="198">
        <v>4352</v>
      </c>
      <c r="F67" s="197">
        <v>0</v>
      </c>
      <c r="G67" s="197">
        <f>F67-E67</f>
        <v>-4352</v>
      </c>
      <c r="H67" s="217"/>
      <c r="I67" s="19" t="s">
        <v>95</v>
      </c>
      <c r="N67" s="217"/>
      <c r="O67" s="217"/>
      <c r="P67" s="199"/>
      <c r="S67" s="172"/>
    </row>
    <row r="68" spans="2:20" s="170" customFormat="1" ht="21.95" hidden="1" customHeight="1" x14ac:dyDescent="0.25">
      <c r="B68" s="485">
        <f>B67+1</f>
        <v>59</v>
      </c>
      <c r="C68" s="196" t="s">
        <v>703</v>
      </c>
      <c r="D68" s="197">
        <v>0</v>
      </c>
      <c r="E68" s="198">
        <v>1161</v>
      </c>
      <c r="F68" s="197">
        <v>0</v>
      </c>
      <c r="G68" s="197">
        <f>F68-E68</f>
        <v>-1161</v>
      </c>
      <c r="H68" s="217">
        <v>0</v>
      </c>
      <c r="I68" s="19" t="s">
        <v>95</v>
      </c>
      <c r="N68" s="217">
        <v>0</v>
      </c>
      <c r="O68" s="217">
        <v>0</v>
      </c>
      <c r="P68" s="199"/>
      <c r="S68" s="172"/>
    </row>
    <row r="69" spans="2:20" s="170" customFormat="1" ht="21.95" hidden="1" customHeight="1" x14ac:dyDescent="0.25">
      <c r="B69" s="485"/>
      <c r="C69" s="196" t="s">
        <v>704</v>
      </c>
      <c r="D69" s="197"/>
      <c r="E69" s="198"/>
      <c r="F69" s="197">
        <v>3489.33</v>
      </c>
      <c r="G69" s="197">
        <f>F69-E69</f>
        <v>3489.33</v>
      </c>
      <c r="H69" s="217"/>
      <c r="I69" s="19" t="s">
        <v>95</v>
      </c>
      <c r="N69" s="217"/>
      <c r="O69" s="217"/>
      <c r="P69" s="199"/>
      <c r="S69" s="172"/>
    </row>
    <row r="70" spans="2:20" s="170" customFormat="1" ht="21.95" hidden="1" customHeight="1" x14ac:dyDescent="0.25">
      <c r="B70" s="485"/>
      <c r="C70" s="226" t="s">
        <v>705</v>
      </c>
      <c r="D70" s="218"/>
      <c r="E70" s="227"/>
      <c r="F70" s="218"/>
      <c r="G70" s="218"/>
      <c r="H70" s="228">
        <v>3000</v>
      </c>
      <c r="I70" s="19"/>
      <c r="N70" s="228">
        <v>3000</v>
      </c>
      <c r="O70" s="228">
        <v>3000</v>
      </c>
      <c r="P70" s="229"/>
      <c r="S70" s="172"/>
    </row>
    <row r="71" spans="2:20" s="170" customFormat="1" ht="21.95" hidden="1" customHeight="1" x14ac:dyDescent="0.25">
      <c r="B71" s="485"/>
      <c r="C71" s="478" t="s">
        <v>706</v>
      </c>
      <c r="D71" s="479"/>
      <c r="E71" s="480"/>
      <c r="F71" s="479"/>
      <c r="G71" s="479"/>
      <c r="H71" s="479"/>
      <c r="I71" s="19" t="s">
        <v>95</v>
      </c>
      <c r="N71" s="479"/>
      <c r="O71" s="479"/>
      <c r="P71" s="481"/>
      <c r="S71" s="172"/>
    </row>
    <row r="72" spans="2:20" s="458" customFormat="1" ht="21.95" hidden="1" customHeight="1" x14ac:dyDescent="0.25">
      <c r="B72" s="268">
        <f>B68+1</f>
        <v>60</v>
      </c>
      <c r="C72" s="20"/>
      <c r="D72" s="32"/>
      <c r="E72" s="232"/>
      <c r="F72" s="32"/>
      <c r="G72" s="32"/>
      <c r="H72" s="32"/>
      <c r="I72" s="19" t="s">
        <v>95</v>
      </c>
      <c r="N72" s="32"/>
      <c r="O72" s="32"/>
      <c r="P72" s="107"/>
      <c r="S72" s="459"/>
    </row>
    <row r="73" spans="2:20" s="458" customFormat="1" ht="21.95" hidden="1" customHeight="1" x14ac:dyDescent="0.25">
      <c r="B73" s="268">
        <f>B72+1</f>
        <v>61</v>
      </c>
      <c r="C73" s="8" t="s">
        <v>54</v>
      </c>
      <c r="D73" s="7">
        <v>472881.23</v>
      </c>
      <c r="E73" s="162">
        <f>E40</f>
        <v>552590</v>
      </c>
      <c r="F73" s="7">
        <f>F40</f>
        <v>570263.77999999991</v>
      </c>
      <c r="G73" s="7">
        <f>F73-E73</f>
        <v>17673.779999999912</v>
      </c>
      <c r="H73" s="7">
        <f>H40</f>
        <v>126838.04999999999</v>
      </c>
      <c r="I73" s="19" t="s">
        <v>95</v>
      </c>
      <c r="N73" s="7">
        <f>N40</f>
        <v>250668.31999999998</v>
      </c>
      <c r="O73" s="7">
        <f>O40</f>
        <v>126834.15999999999</v>
      </c>
      <c r="P73" s="163"/>
      <c r="S73" s="459"/>
    </row>
    <row r="74" spans="2:20" s="458" customFormat="1" ht="21.95" hidden="1" customHeight="1" x14ac:dyDescent="0.25">
      <c r="B74" s="268">
        <f>B73+1</f>
        <v>62</v>
      </c>
      <c r="C74" s="5"/>
      <c r="D74" s="7"/>
      <c r="E74" s="162"/>
      <c r="F74" s="7"/>
      <c r="G74" s="7"/>
      <c r="H74" s="7"/>
      <c r="I74" s="19" t="s">
        <v>95</v>
      </c>
      <c r="N74" s="7"/>
      <c r="O74" s="7"/>
      <c r="P74" s="163"/>
      <c r="S74" s="459"/>
    </row>
    <row r="75" spans="2:20" s="458" customFormat="1" ht="21.95" hidden="1" customHeight="1" x14ac:dyDescent="0.25">
      <c r="B75" s="268">
        <f>B74+1</f>
        <v>63</v>
      </c>
      <c r="C75" s="15" t="s">
        <v>55</v>
      </c>
      <c r="D75" s="490">
        <v>7678709.0299999993</v>
      </c>
      <c r="E75" s="491">
        <f>E40+E3</f>
        <v>5648342</v>
      </c>
      <c r="F75" s="490">
        <f>F40+F3</f>
        <v>7550246.0900000008</v>
      </c>
      <c r="G75" s="490">
        <f t="shared" ref="G75:G89" si="4">F75-E75</f>
        <v>1901904.0900000008</v>
      </c>
      <c r="H75" s="490">
        <f>H40+H3</f>
        <v>8690592.6132876724</v>
      </c>
      <c r="I75" s="19" t="s">
        <v>95</v>
      </c>
      <c r="N75" s="490">
        <f>N40+N3</f>
        <v>9637168.3200000003</v>
      </c>
      <c r="O75" s="490">
        <f>O40+O3</f>
        <v>11113334.16</v>
      </c>
      <c r="P75" s="492"/>
      <c r="S75" s="459"/>
    </row>
    <row r="76" spans="2:20" s="458" customFormat="1" ht="21.95" customHeight="1" x14ac:dyDescent="0.25">
      <c r="B76" s="540" t="e">
        <f>#REF!+1</f>
        <v>#REF!</v>
      </c>
      <c r="C76" s="541" t="s">
        <v>135</v>
      </c>
      <c r="D76" s="537">
        <v>0</v>
      </c>
      <c r="E76" s="538">
        <v>12600</v>
      </c>
      <c r="F76" s="537">
        <v>0</v>
      </c>
      <c r="G76" s="537">
        <f t="shared" si="4"/>
        <v>-12600</v>
      </c>
      <c r="H76" s="537">
        <f>F76</f>
        <v>0</v>
      </c>
      <c r="I76" s="19" t="s">
        <v>95</v>
      </c>
      <c r="N76" s="296">
        <f>H76</f>
        <v>0</v>
      </c>
      <c r="O76" s="296">
        <f>M76</f>
        <v>0</v>
      </c>
      <c r="P76" s="300"/>
      <c r="S76" s="459"/>
    </row>
    <row r="77" spans="2:20" s="458" customFormat="1" ht="21.95" customHeight="1" x14ac:dyDescent="0.25">
      <c r="B77" s="540" t="e">
        <f>#REF!+1</f>
        <v>#REF!</v>
      </c>
      <c r="C77" s="536" t="s">
        <v>762</v>
      </c>
      <c r="D77" s="537">
        <v>20008.39</v>
      </c>
      <c r="E77" s="538">
        <v>8384</v>
      </c>
      <c r="F77" s="537">
        <v>19508.39</v>
      </c>
      <c r="G77" s="537">
        <f t="shared" si="4"/>
        <v>11124.39</v>
      </c>
      <c r="H77" s="539">
        <v>50000</v>
      </c>
      <c r="I77" s="299"/>
      <c r="J77" s="299"/>
      <c r="K77" s="299"/>
      <c r="L77" s="299"/>
      <c r="M77" s="299"/>
      <c r="N77" s="298">
        <v>100000</v>
      </c>
      <c r="O77" s="298">
        <v>100000</v>
      </c>
      <c r="P77" s="300"/>
      <c r="Q77" s="458" t="s">
        <v>763</v>
      </c>
      <c r="S77" s="502">
        <v>100000</v>
      </c>
      <c r="T77" s="458" t="s">
        <v>764</v>
      </c>
    </row>
    <row r="78" spans="2:20" s="458" customFormat="1" ht="32.25" customHeight="1" x14ac:dyDescent="0.25">
      <c r="B78" s="540" t="e">
        <f>#REF!+1</f>
        <v>#REF!</v>
      </c>
      <c r="C78" s="536" t="s">
        <v>765</v>
      </c>
      <c r="D78" s="537">
        <v>6561.2800000000007</v>
      </c>
      <c r="E78" s="538">
        <v>7216</v>
      </c>
      <c r="F78" s="537">
        <v>7329.48</v>
      </c>
      <c r="G78" s="537">
        <f t="shared" si="4"/>
        <v>113.47999999999956</v>
      </c>
      <c r="H78" s="539">
        <v>20000</v>
      </c>
      <c r="I78" s="299" t="s">
        <v>95</v>
      </c>
      <c r="J78" s="299"/>
      <c r="K78" s="299"/>
      <c r="L78" s="299"/>
      <c r="M78" s="299"/>
      <c r="N78" s="298">
        <v>20000</v>
      </c>
      <c r="O78" s="298">
        <f>H78</f>
        <v>20000</v>
      </c>
      <c r="P78" s="300"/>
      <c r="Q78" s="458" t="s">
        <v>766</v>
      </c>
      <c r="S78" s="459"/>
    </row>
    <row r="79" spans="2:20" s="458" customFormat="1" ht="21.95" customHeight="1" x14ac:dyDescent="0.25">
      <c r="B79" s="540" t="e">
        <f>#REF!+1</f>
        <v>#REF!</v>
      </c>
      <c r="C79" s="541" t="s">
        <v>767</v>
      </c>
      <c r="D79" s="537">
        <v>0</v>
      </c>
      <c r="E79" s="538">
        <v>0</v>
      </c>
      <c r="F79" s="537">
        <v>0</v>
      </c>
      <c r="G79" s="537">
        <f t="shared" si="4"/>
        <v>0</v>
      </c>
      <c r="H79" s="537">
        <f>F79</f>
        <v>0</v>
      </c>
      <c r="I79" s="19" t="s">
        <v>95</v>
      </c>
      <c r="N79" s="296">
        <f>H79</f>
        <v>0</v>
      </c>
      <c r="O79" s="296">
        <f>M79</f>
        <v>0</v>
      </c>
      <c r="P79" s="300"/>
      <c r="S79" s="459"/>
    </row>
    <row r="80" spans="2:20" s="458" customFormat="1" ht="21.95" customHeight="1" x14ac:dyDescent="0.25">
      <c r="B80" s="540" t="e">
        <f>B78+1</f>
        <v>#REF!</v>
      </c>
      <c r="C80" s="541"/>
      <c r="D80" s="537">
        <v>1000</v>
      </c>
      <c r="E80" s="538">
        <v>3286</v>
      </c>
      <c r="F80" s="537">
        <v>2058</v>
      </c>
      <c r="G80" s="537">
        <f t="shared" si="4"/>
        <v>-1228</v>
      </c>
      <c r="H80" s="537"/>
      <c r="I80" s="19" t="s">
        <v>95</v>
      </c>
      <c r="N80" s="296">
        <f>H80</f>
        <v>0</v>
      </c>
      <c r="O80" s="296">
        <f>H80</f>
        <v>0</v>
      </c>
      <c r="P80" s="300"/>
      <c r="Q80" s="458" t="s">
        <v>758</v>
      </c>
      <c r="S80" s="459"/>
    </row>
    <row r="81" spans="2:19" s="458" customFormat="1" ht="21.95" customHeight="1" x14ac:dyDescent="0.25">
      <c r="B81" s="540" t="e">
        <f>B79+1</f>
        <v>#REF!</v>
      </c>
      <c r="C81" s="541" t="s">
        <v>138</v>
      </c>
      <c r="D81" s="537">
        <v>10439.01</v>
      </c>
      <c r="E81" s="538">
        <v>8119</v>
      </c>
      <c r="F81" s="537">
        <v>5139.01</v>
      </c>
      <c r="G81" s="537">
        <f t="shared" si="4"/>
        <v>-2979.99</v>
      </c>
      <c r="H81" s="537"/>
      <c r="I81" s="19" t="s">
        <v>95</v>
      </c>
      <c r="N81" s="296"/>
      <c r="O81" s="296"/>
      <c r="P81" s="300"/>
      <c r="S81" s="459"/>
    </row>
    <row r="82" spans="2:19" s="458" customFormat="1" ht="21.95" customHeight="1" x14ac:dyDescent="0.25">
      <c r="B82" s="540" t="e">
        <f>B85+1</f>
        <v>#REF!</v>
      </c>
      <c r="C82" s="541" t="s">
        <v>139</v>
      </c>
      <c r="D82" s="537">
        <v>856.2</v>
      </c>
      <c r="E82" s="538">
        <v>96926</v>
      </c>
      <c r="F82" s="537">
        <v>60606.2</v>
      </c>
      <c r="G82" s="537">
        <f t="shared" si="4"/>
        <v>-36319.800000000003</v>
      </c>
      <c r="H82" s="537"/>
      <c r="I82" s="19" t="s">
        <v>95</v>
      </c>
      <c r="N82" s="296">
        <f>H82</f>
        <v>0</v>
      </c>
      <c r="O82" s="296"/>
      <c r="P82" s="300"/>
      <c r="S82" s="459"/>
    </row>
    <row r="83" spans="2:19" s="458" customFormat="1" ht="31.5" customHeight="1" x14ac:dyDescent="0.25">
      <c r="B83" s="540" t="e">
        <f>B86+1</f>
        <v>#REF!</v>
      </c>
      <c r="C83" s="536" t="s">
        <v>769</v>
      </c>
      <c r="D83" s="537">
        <v>4396.5</v>
      </c>
      <c r="E83" s="538">
        <v>42807</v>
      </c>
      <c r="F83" s="537">
        <v>7494.7</v>
      </c>
      <c r="G83" s="537">
        <f t="shared" si="4"/>
        <v>-35312.300000000003</v>
      </c>
      <c r="H83" s="539">
        <v>20000</v>
      </c>
      <c r="I83" s="299" t="s">
        <v>95</v>
      </c>
      <c r="J83" s="299"/>
      <c r="K83" s="299"/>
      <c r="L83" s="299"/>
      <c r="M83" s="299"/>
      <c r="N83" s="298">
        <v>20000</v>
      </c>
      <c r="O83" s="298">
        <v>20000</v>
      </c>
      <c r="P83" s="300"/>
      <c r="Q83" s="458" t="s">
        <v>742</v>
      </c>
      <c r="S83" s="459"/>
    </row>
    <row r="84" spans="2:19" s="458" customFormat="1" ht="40.5" customHeight="1" x14ac:dyDescent="0.25">
      <c r="B84" s="540" t="e">
        <f>B80+1</f>
        <v>#REF!</v>
      </c>
      <c r="C84" s="536" t="s">
        <v>770</v>
      </c>
      <c r="D84" s="537">
        <v>13782.810000000001</v>
      </c>
      <c r="E84" s="538">
        <v>10834</v>
      </c>
      <c r="F84" s="537">
        <v>21796.65</v>
      </c>
      <c r="G84" s="537">
        <f t="shared" si="4"/>
        <v>10962.650000000001</v>
      </c>
      <c r="H84" s="539">
        <v>20000</v>
      </c>
      <c r="I84" s="299" t="s">
        <v>95</v>
      </c>
      <c r="J84" s="299"/>
      <c r="K84" s="299"/>
      <c r="L84" s="299"/>
      <c r="M84" s="299"/>
      <c r="N84" s="298">
        <v>20000</v>
      </c>
      <c r="O84" s="298">
        <v>20000</v>
      </c>
      <c r="P84" s="300"/>
      <c r="S84" s="459"/>
    </row>
    <row r="85" spans="2:19" s="458" customFormat="1" ht="39" customHeight="1" x14ac:dyDescent="0.25">
      <c r="B85" s="540" t="e">
        <f>B76+1</f>
        <v>#REF!</v>
      </c>
      <c r="C85" s="541" t="s">
        <v>136</v>
      </c>
      <c r="D85" s="537">
        <v>0</v>
      </c>
      <c r="E85" s="538">
        <v>3895</v>
      </c>
      <c r="F85" s="537">
        <v>0</v>
      </c>
      <c r="G85" s="537">
        <f t="shared" si="4"/>
        <v>-3895</v>
      </c>
      <c r="H85" s="537">
        <f>F85</f>
        <v>0</v>
      </c>
      <c r="I85" s="19" t="s">
        <v>95</v>
      </c>
      <c r="N85" s="296">
        <f>H85</f>
        <v>0</v>
      </c>
      <c r="O85" s="296">
        <f>M85</f>
        <v>0</v>
      </c>
      <c r="P85" s="300"/>
      <c r="S85" s="459"/>
    </row>
    <row r="86" spans="2:19" s="458" customFormat="1" ht="21.95" customHeight="1" x14ac:dyDescent="0.25">
      <c r="B86" s="540" t="e">
        <f>B77+1</f>
        <v>#REF!</v>
      </c>
      <c r="C86" s="541" t="s">
        <v>768</v>
      </c>
      <c r="D86" s="537">
        <v>1800</v>
      </c>
      <c r="E86" s="538">
        <v>0</v>
      </c>
      <c r="F86" s="537">
        <v>1800</v>
      </c>
      <c r="G86" s="537">
        <f t="shared" si="4"/>
        <v>1800</v>
      </c>
      <c r="H86" s="537"/>
      <c r="I86" s="19" t="s">
        <v>95</v>
      </c>
      <c r="N86" s="296">
        <f>H86</f>
        <v>0</v>
      </c>
      <c r="O86" s="296">
        <f>H86</f>
        <v>0</v>
      </c>
      <c r="P86" s="300"/>
      <c r="S86" s="459"/>
    </row>
    <row r="87" spans="2:19" s="458" customFormat="1" ht="21.95" customHeight="1" x14ac:dyDescent="0.25">
      <c r="B87" s="540" t="e">
        <f>B81+1</f>
        <v>#REF!</v>
      </c>
      <c r="C87" s="541" t="s">
        <v>140</v>
      </c>
      <c r="D87" s="537">
        <v>12819.07</v>
      </c>
      <c r="E87" s="538">
        <v>25197</v>
      </c>
      <c r="F87" s="537">
        <v>21365.47</v>
      </c>
      <c r="G87" s="537">
        <f t="shared" si="4"/>
        <v>-3831.5299999999988</v>
      </c>
      <c r="H87" s="537">
        <f>F87</f>
        <v>21365.47</v>
      </c>
      <c r="I87" s="19" t="s">
        <v>95</v>
      </c>
      <c r="N87" s="296">
        <f>H87</f>
        <v>21365.47</v>
      </c>
      <c r="O87" s="296">
        <f>H87</f>
        <v>21365.47</v>
      </c>
      <c r="P87" s="300"/>
      <c r="Q87" s="458" t="s">
        <v>771</v>
      </c>
      <c r="S87" s="459"/>
    </row>
    <row r="88" spans="2:19" s="458" customFormat="1" ht="45.75" customHeight="1" x14ac:dyDescent="0.25">
      <c r="B88" s="540" t="e">
        <f>B82+1</f>
        <v>#REF!</v>
      </c>
      <c r="C88" s="536" t="s">
        <v>772</v>
      </c>
      <c r="D88" s="537">
        <v>325538.44</v>
      </c>
      <c r="E88" s="538">
        <v>386645</v>
      </c>
      <c r="F88" s="537">
        <v>145425.72</v>
      </c>
      <c r="G88" s="537">
        <f t="shared" si="4"/>
        <v>-241219.28</v>
      </c>
      <c r="H88" s="539">
        <f>238000-100000+100000</f>
        <v>238000</v>
      </c>
      <c r="I88" s="299" t="s">
        <v>95</v>
      </c>
      <c r="J88" s="299"/>
      <c r="K88" s="299"/>
      <c r="L88" s="299"/>
      <c r="M88" s="299"/>
      <c r="N88" s="298">
        <f>125000+100000</f>
        <v>225000</v>
      </c>
      <c r="O88" s="298">
        <v>125000</v>
      </c>
      <c r="P88" s="300"/>
      <c r="Q88" s="458" t="s">
        <v>773</v>
      </c>
      <c r="S88" s="459"/>
    </row>
    <row r="89" spans="2:19" s="459" customFormat="1" ht="40.5" customHeight="1" x14ac:dyDescent="0.25">
      <c r="B89" s="540"/>
      <c r="C89" s="536" t="s">
        <v>774</v>
      </c>
      <c r="D89" s="537"/>
      <c r="E89" s="538"/>
      <c r="F89" s="537">
        <v>5215.62</v>
      </c>
      <c r="G89" s="537">
        <f t="shared" si="4"/>
        <v>5215.62</v>
      </c>
      <c r="H89" s="539">
        <v>20000</v>
      </c>
      <c r="I89" s="299" t="s">
        <v>95</v>
      </c>
      <c r="J89" s="299"/>
      <c r="K89" s="299"/>
      <c r="L89" s="299"/>
      <c r="M89" s="299"/>
      <c r="N89" s="298">
        <v>0</v>
      </c>
      <c r="O89" s="298">
        <v>0</v>
      </c>
      <c r="P89" s="300"/>
      <c r="Q89" s="458"/>
      <c r="R89" s="458"/>
    </row>
    <row r="90" spans="2:19" s="459" customFormat="1" ht="30.75" customHeight="1" x14ac:dyDescent="0.25">
      <c r="B90" s="540"/>
      <c r="C90" s="536" t="s">
        <v>775</v>
      </c>
      <c r="D90" s="537"/>
      <c r="E90" s="538"/>
      <c r="F90" s="537"/>
      <c r="G90" s="537"/>
      <c r="H90" s="539">
        <v>22500</v>
      </c>
      <c r="I90" s="299"/>
      <c r="J90" s="299"/>
      <c r="K90" s="299"/>
      <c r="L90" s="299"/>
      <c r="M90" s="299"/>
      <c r="N90" s="298">
        <v>0</v>
      </c>
      <c r="O90" s="298">
        <v>0</v>
      </c>
      <c r="P90" s="300"/>
      <c r="Q90" s="458"/>
      <c r="R90" s="458"/>
    </row>
    <row r="91" spans="2:19" s="459" customFormat="1" ht="40.5" customHeight="1" x14ac:dyDescent="0.25">
      <c r="B91" s="540" t="e">
        <f>B83+1</f>
        <v>#REF!</v>
      </c>
      <c r="C91" s="541" t="s">
        <v>141</v>
      </c>
      <c r="D91" s="537">
        <v>0</v>
      </c>
      <c r="E91" s="538">
        <v>8522</v>
      </c>
      <c r="F91" s="537">
        <v>0</v>
      </c>
      <c r="G91" s="537">
        <f t="shared" ref="G91:G98" si="5">F91-E91</f>
        <v>-8522</v>
      </c>
      <c r="H91" s="537">
        <f t="shared" ref="H91:H96" si="6">F91</f>
        <v>0</v>
      </c>
      <c r="I91" s="19" t="s">
        <v>95</v>
      </c>
      <c r="J91" s="458"/>
      <c r="K91" s="458"/>
      <c r="L91" s="458"/>
      <c r="M91" s="458"/>
      <c r="N91" s="296">
        <f t="shared" ref="N91:N98" si="7">H91</f>
        <v>0</v>
      </c>
      <c r="O91" s="296">
        <f t="shared" ref="O91:O98" si="8">M91</f>
        <v>0</v>
      </c>
      <c r="P91" s="300"/>
      <c r="Q91" s="458"/>
      <c r="R91" s="458"/>
    </row>
    <row r="92" spans="2:19" s="459" customFormat="1" ht="21.95" customHeight="1" x14ac:dyDescent="0.25">
      <c r="B92" s="540" t="e">
        <f>B84+1</f>
        <v>#REF!</v>
      </c>
      <c r="C92" s="541" t="s">
        <v>776</v>
      </c>
      <c r="D92" s="537">
        <v>0</v>
      </c>
      <c r="E92" s="538">
        <v>0</v>
      </c>
      <c r="F92" s="537">
        <v>0</v>
      </c>
      <c r="G92" s="537">
        <f t="shared" si="5"/>
        <v>0</v>
      </c>
      <c r="H92" s="537">
        <f t="shared" si="6"/>
        <v>0</v>
      </c>
      <c r="I92" s="19" t="s">
        <v>95</v>
      </c>
      <c r="J92" s="458"/>
      <c r="K92" s="458"/>
      <c r="L92" s="458"/>
      <c r="M92" s="458"/>
      <c r="N92" s="296">
        <f t="shared" si="7"/>
        <v>0</v>
      </c>
      <c r="O92" s="296">
        <f t="shared" si="8"/>
        <v>0</v>
      </c>
      <c r="P92" s="300"/>
      <c r="Q92" s="458"/>
      <c r="R92" s="458"/>
    </row>
    <row r="93" spans="2:19" s="459" customFormat="1" ht="21.95" customHeight="1" x14ac:dyDescent="0.25">
      <c r="B93" s="268" t="e">
        <f>B88+1</f>
        <v>#REF!</v>
      </c>
      <c r="C93" s="269" t="s">
        <v>778</v>
      </c>
      <c r="D93" s="296">
        <v>0</v>
      </c>
      <c r="E93" s="297">
        <v>0</v>
      </c>
      <c r="F93" s="296">
        <v>0</v>
      </c>
      <c r="G93" s="296">
        <f t="shared" si="5"/>
        <v>0</v>
      </c>
      <c r="H93" s="296">
        <f t="shared" si="6"/>
        <v>0</v>
      </c>
      <c r="I93" s="19" t="s">
        <v>95</v>
      </c>
      <c r="J93" s="458"/>
      <c r="K93" s="458"/>
      <c r="L93" s="458"/>
      <c r="M93" s="458"/>
      <c r="N93" s="296">
        <f t="shared" si="7"/>
        <v>0</v>
      </c>
      <c r="O93" s="296">
        <f t="shared" si="8"/>
        <v>0</v>
      </c>
      <c r="P93" s="300"/>
      <c r="Q93" s="458"/>
      <c r="R93" s="458"/>
    </row>
    <row r="94" spans="2:19" s="459" customFormat="1" ht="21.95" customHeight="1" x14ac:dyDescent="0.25">
      <c r="B94" s="268" t="e">
        <f>B92+1</f>
        <v>#REF!</v>
      </c>
      <c r="C94" s="269" t="s">
        <v>780</v>
      </c>
      <c r="D94" s="296">
        <v>0</v>
      </c>
      <c r="E94" s="297">
        <v>0</v>
      </c>
      <c r="F94" s="296">
        <v>0</v>
      </c>
      <c r="G94" s="296">
        <f t="shared" si="5"/>
        <v>0</v>
      </c>
      <c r="H94" s="296">
        <f t="shared" si="6"/>
        <v>0</v>
      </c>
      <c r="I94" s="19" t="s">
        <v>95</v>
      </c>
      <c r="J94" s="458"/>
      <c r="K94" s="458"/>
      <c r="L94" s="458"/>
      <c r="M94" s="458"/>
      <c r="N94" s="296">
        <f t="shared" si="7"/>
        <v>0</v>
      </c>
      <c r="O94" s="296">
        <f t="shared" si="8"/>
        <v>0</v>
      </c>
      <c r="P94" s="300"/>
      <c r="Q94" s="458"/>
      <c r="R94" s="458"/>
    </row>
    <row r="95" spans="2:19" s="459" customFormat="1" ht="41.25" customHeight="1" x14ac:dyDescent="0.25">
      <c r="B95" s="268" t="e">
        <f>#REF!+1</f>
        <v>#REF!</v>
      </c>
      <c r="C95" s="269" t="s">
        <v>144</v>
      </c>
      <c r="D95" s="296">
        <v>0</v>
      </c>
      <c r="E95" s="297">
        <v>4837</v>
      </c>
      <c r="F95" s="296">
        <v>0</v>
      </c>
      <c r="G95" s="296">
        <f t="shared" si="5"/>
        <v>-4837</v>
      </c>
      <c r="H95" s="296">
        <f t="shared" si="6"/>
        <v>0</v>
      </c>
      <c r="I95" s="19" t="s">
        <v>95</v>
      </c>
      <c r="J95" s="458"/>
      <c r="K95" s="458"/>
      <c r="L95" s="458"/>
      <c r="M95" s="458"/>
      <c r="N95" s="296">
        <f t="shared" si="7"/>
        <v>0</v>
      </c>
      <c r="O95" s="296">
        <f t="shared" si="8"/>
        <v>0</v>
      </c>
      <c r="P95" s="300"/>
      <c r="Q95" s="458"/>
      <c r="R95" s="458"/>
    </row>
    <row r="96" spans="2:19" s="459" customFormat="1" ht="31.5" customHeight="1" x14ac:dyDescent="0.25">
      <c r="B96" s="268" t="e">
        <f>B93+1</f>
        <v>#REF!</v>
      </c>
      <c r="C96" s="269" t="s">
        <v>781</v>
      </c>
      <c r="D96" s="296">
        <v>0</v>
      </c>
      <c r="E96" s="297">
        <v>0</v>
      </c>
      <c r="F96" s="296">
        <v>0</v>
      </c>
      <c r="G96" s="296">
        <f t="shared" si="5"/>
        <v>0</v>
      </c>
      <c r="H96" s="296">
        <f t="shared" si="6"/>
        <v>0</v>
      </c>
      <c r="I96" s="19" t="s">
        <v>95</v>
      </c>
      <c r="J96" s="458"/>
      <c r="K96" s="458"/>
      <c r="L96" s="458"/>
      <c r="M96" s="458"/>
      <c r="N96" s="296">
        <f t="shared" si="7"/>
        <v>0</v>
      </c>
      <c r="O96" s="296">
        <f t="shared" si="8"/>
        <v>0</v>
      </c>
      <c r="P96" s="300"/>
      <c r="Q96" s="458"/>
      <c r="R96" s="458"/>
    </row>
    <row r="97" spans="2:18" s="459" customFormat="1" ht="30.75" customHeight="1" x14ac:dyDescent="0.25">
      <c r="B97" s="268" t="e">
        <f>#REF!+1</f>
        <v>#REF!</v>
      </c>
      <c r="C97" s="269" t="s">
        <v>145</v>
      </c>
      <c r="D97" s="296">
        <v>6062.98</v>
      </c>
      <c r="E97" s="297">
        <v>4424</v>
      </c>
      <c r="F97" s="296">
        <v>6062.98</v>
      </c>
      <c r="G97" s="296">
        <f t="shared" si="5"/>
        <v>1638.9799999999996</v>
      </c>
      <c r="H97" s="296"/>
      <c r="I97" s="19" t="s">
        <v>95</v>
      </c>
      <c r="J97" s="241"/>
      <c r="K97" s="458"/>
      <c r="L97" s="458"/>
      <c r="M97" s="458"/>
      <c r="N97" s="296">
        <f t="shared" si="7"/>
        <v>0</v>
      </c>
      <c r="O97" s="296">
        <f t="shared" si="8"/>
        <v>0</v>
      </c>
      <c r="P97" s="300"/>
      <c r="Q97" s="241"/>
      <c r="R97" s="241"/>
    </row>
    <row r="98" spans="2:18" s="459" customFormat="1" ht="34.5" customHeight="1" x14ac:dyDescent="0.25">
      <c r="B98" s="268" t="e">
        <f>B94+1</f>
        <v>#REF!</v>
      </c>
      <c r="C98" s="269" t="s">
        <v>146</v>
      </c>
      <c r="D98" s="296">
        <v>105865.52</v>
      </c>
      <c r="E98" s="297">
        <v>91770</v>
      </c>
      <c r="F98" s="296">
        <v>105865.52</v>
      </c>
      <c r="G98" s="296">
        <f t="shared" si="5"/>
        <v>14095.520000000004</v>
      </c>
      <c r="H98" s="296"/>
      <c r="I98" s="19" t="s">
        <v>95</v>
      </c>
      <c r="J98" s="458"/>
      <c r="K98" s="458"/>
      <c r="L98" s="458"/>
      <c r="M98" s="458"/>
      <c r="N98" s="296">
        <f t="shared" si="7"/>
        <v>0</v>
      </c>
      <c r="O98" s="296">
        <f t="shared" si="8"/>
        <v>0</v>
      </c>
      <c r="P98" s="300"/>
      <c r="Q98" s="458" t="s">
        <v>782</v>
      </c>
      <c r="R98" s="458"/>
    </row>
    <row r="99" spans="2:18" s="459" customFormat="1" ht="21.95" customHeight="1" x14ac:dyDescent="0.25">
      <c r="B99" s="268"/>
      <c r="C99" s="301" t="s">
        <v>783</v>
      </c>
      <c r="D99" s="302"/>
      <c r="E99" s="303"/>
      <c r="F99" s="302"/>
      <c r="G99" s="296"/>
      <c r="H99" s="296"/>
      <c r="I99" s="19"/>
      <c r="J99" s="458"/>
      <c r="K99" s="458"/>
      <c r="L99" s="458"/>
      <c r="M99" s="458"/>
      <c r="N99" s="296"/>
      <c r="O99" s="296"/>
      <c r="P99" s="300"/>
      <c r="Q99" s="458"/>
      <c r="R99" s="458"/>
    </row>
    <row r="100" spans="2:18" s="459" customFormat="1" ht="30" customHeight="1" x14ac:dyDescent="0.25">
      <c r="B100" s="268"/>
      <c r="C100" s="586" t="s">
        <v>784</v>
      </c>
      <c r="D100" s="587"/>
      <c r="E100" s="588"/>
      <c r="F100" s="587"/>
      <c r="G100" s="587"/>
      <c r="H100" s="589">
        <v>30000</v>
      </c>
      <c r="I100" s="299"/>
      <c r="J100" s="299"/>
      <c r="K100" s="299"/>
      <c r="L100" s="299"/>
      <c r="M100" s="299"/>
      <c r="N100" s="590">
        <v>30000</v>
      </c>
      <c r="O100" s="590">
        <v>30000</v>
      </c>
      <c r="P100" s="300"/>
      <c r="Q100" s="528">
        <f>SUM(H77:H100)</f>
        <v>441865.47</v>
      </c>
      <c r="R100" s="458"/>
    </row>
    <row r="101" spans="2:18" s="459" customFormat="1" ht="30" customHeight="1" x14ac:dyDescent="0.25">
      <c r="B101" s="660"/>
      <c r="C101" s="621" t="s">
        <v>188</v>
      </c>
      <c r="D101" s="622">
        <v>3200</v>
      </c>
      <c r="E101" s="623">
        <v>4232</v>
      </c>
      <c r="F101" s="622">
        <v>2900</v>
      </c>
      <c r="G101" s="622">
        <f>F101-E101</f>
        <v>-1332</v>
      </c>
      <c r="H101" s="622">
        <v>3000</v>
      </c>
      <c r="I101" s="667"/>
      <c r="J101" s="667"/>
      <c r="K101" s="667"/>
      <c r="L101" s="667"/>
      <c r="M101" s="667"/>
      <c r="N101" s="668">
        <v>3000</v>
      </c>
      <c r="O101" s="668">
        <v>3000</v>
      </c>
      <c r="P101" s="300"/>
      <c r="Q101" s="458"/>
      <c r="R101" s="458"/>
    </row>
    <row r="102" spans="2:18" ht="15.75" x14ac:dyDescent="0.25">
      <c r="C102" s="576" t="s">
        <v>1006</v>
      </c>
      <c r="D102" s="578">
        <v>150000</v>
      </c>
      <c r="E102" s="591"/>
      <c r="F102" s="102"/>
      <c r="G102" s="102"/>
      <c r="H102" s="102">
        <v>150000</v>
      </c>
      <c r="I102" s="1"/>
      <c r="J102" s="1"/>
      <c r="K102" s="1"/>
      <c r="L102" s="1"/>
      <c r="M102" s="1"/>
      <c r="N102" s="102">
        <v>50000</v>
      </c>
      <c r="O102" s="579">
        <v>35000</v>
      </c>
    </row>
    <row r="103" spans="2:18" ht="47.25" x14ac:dyDescent="0.25">
      <c r="C103" s="576" t="s">
        <v>1008</v>
      </c>
      <c r="D103" s="579">
        <v>35000</v>
      </c>
      <c r="E103" s="591"/>
      <c r="F103" s="102"/>
      <c r="G103" s="102"/>
      <c r="H103" s="102">
        <v>35000</v>
      </c>
      <c r="I103" s="1"/>
      <c r="J103" s="1"/>
      <c r="K103" s="1"/>
      <c r="L103" s="1"/>
      <c r="M103" s="1"/>
      <c r="N103" s="102">
        <v>35000</v>
      </c>
      <c r="O103" s="579">
        <v>0</v>
      </c>
    </row>
    <row r="104" spans="2:18" ht="15.75" x14ac:dyDescent="0.25">
      <c r="C104" s="576" t="s">
        <v>1009</v>
      </c>
      <c r="D104" s="579">
        <v>40000</v>
      </c>
      <c r="E104" s="591"/>
      <c r="F104" s="102"/>
      <c r="G104" s="102"/>
      <c r="H104" s="102">
        <v>40000</v>
      </c>
      <c r="I104" s="1"/>
      <c r="J104" s="1"/>
      <c r="K104" s="1"/>
      <c r="L104" s="1"/>
      <c r="M104" s="1"/>
      <c r="N104" s="102">
        <v>0</v>
      </c>
      <c r="O104" s="579">
        <v>0</v>
      </c>
    </row>
    <row r="105" spans="2:18" ht="15.75" x14ac:dyDescent="0.25">
      <c r="C105" s="576" t="s">
        <v>1010</v>
      </c>
      <c r="D105" s="579">
        <v>100000</v>
      </c>
      <c r="E105" s="591"/>
      <c r="F105" s="102"/>
      <c r="G105" s="102"/>
      <c r="H105" s="102">
        <v>100000</v>
      </c>
      <c r="I105" s="1"/>
      <c r="J105" s="1"/>
      <c r="K105" s="1"/>
      <c r="L105" s="1"/>
      <c r="M105" s="1"/>
      <c r="N105" s="102">
        <v>0</v>
      </c>
      <c r="O105" s="579">
        <v>0</v>
      </c>
    </row>
    <row r="106" spans="2:18" ht="15.75" x14ac:dyDescent="0.25">
      <c r="C106" s="576" t="s">
        <v>1015</v>
      </c>
      <c r="D106" s="579">
        <v>20000</v>
      </c>
      <c r="E106" s="591"/>
      <c r="F106" s="102"/>
      <c r="G106" s="102"/>
      <c r="H106" s="102">
        <v>20000</v>
      </c>
      <c r="I106" s="1"/>
      <c r="J106" s="1"/>
      <c r="K106" s="1"/>
      <c r="L106" s="1"/>
      <c r="M106" s="1"/>
      <c r="N106" s="102">
        <v>200000</v>
      </c>
      <c r="O106" s="579">
        <v>100000</v>
      </c>
    </row>
    <row r="107" spans="2:18" ht="15.75" x14ac:dyDescent="0.25">
      <c r="C107" s="576" t="s">
        <v>1017</v>
      </c>
      <c r="D107" s="579">
        <v>50000</v>
      </c>
      <c r="E107" s="591"/>
      <c r="F107" s="102"/>
      <c r="G107" s="102"/>
      <c r="H107" s="102">
        <v>50000</v>
      </c>
      <c r="I107" s="1"/>
      <c r="J107" s="1"/>
      <c r="K107" s="1"/>
      <c r="L107" s="1"/>
      <c r="M107" s="1"/>
      <c r="N107" s="102">
        <v>100000</v>
      </c>
      <c r="O107" s="579">
        <v>0</v>
      </c>
    </row>
    <row r="108" spans="2:18" ht="15.75" x14ac:dyDescent="0.25">
      <c r="C108" s="576" t="s">
        <v>1018</v>
      </c>
      <c r="D108" s="579">
        <v>23000</v>
      </c>
      <c r="E108" s="591"/>
      <c r="F108" s="102"/>
      <c r="G108" s="102"/>
      <c r="H108" s="102">
        <v>23000</v>
      </c>
      <c r="I108" s="1"/>
      <c r="J108" s="1"/>
      <c r="K108" s="1"/>
      <c r="L108" s="1"/>
      <c r="M108" s="1"/>
      <c r="N108" s="102">
        <v>0</v>
      </c>
      <c r="O108" s="579">
        <v>0</v>
      </c>
    </row>
    <row r="109" spans="2:18" ht="15.75" x14ac:dyDescent="0.25">
      <c r="C109" s="576" t="s">
        <v>1019</v>
      </c>
      <c r="D109" s="579">
        <v>0</v>
      </c>
      <c r="E109" s="591"/>
      <c r="F109" s="102"/>
      <c r="G109" s="102"/>
      <c r="H109" s="102">
        <v>0</v>
      </c>
      <c r="I109" s="1"/>
      <c r="J109" s="1"/>
      <c r="K109" s="1"/>
      <c r="L109" s="1"/>
      <c r="M109" s="1"/>
      <c r="N109" s="102">
        <v>65000</v>
      </c>
      <c r="O109" s="579">
        <v>0</v>
      </c>
    </row>
    <row r="110" spans="2:18" ht="31.5" x14ac:dyDescent="0.25">
      <c r="C110" s="576" t="s">
        <v>1020</v>
      </c>
      <c r="D110" s="579">
        <v>20000</v>
      </c>
      <c r="E110" s="591"/>
      <c r="F110" s="102"/>
      <c r="G110" s="102"/>
      <c r="H110" s="102">
        <v>20000</v>
      </c>
      <c r="I110" s="1"/>
      <c r="J110" s="1"/>
      <c r="K110" s="1"/>
      <c r="L110" s="1"/>
      <c r="M110" s="1"/>
      <c r="N110" s="102">
        <v>25000</v>
      </c>
      <c r="O110" s="579">
        <v>0</v>
      </c>
    </row>
    <row r="111" spans="2:18" ht="15.75" x14ac:dyDescent="0.25">
      <c r="C111" s="576" t="s">
        <v>1021</v>
      </c>
      <c r="D111" s="579">
        <v>0</v>
      </c>
      <c r="E111" s="591"/>
      <c r="F111" s="102"/>
      <c r="G111" s="102"/>
      <c r="H111" s="102">
        <v>0</v>
      </c>
      <c r="I111" s="1"/>
      <c r="J111" s="1"/>
      <c r="K111" s="1"/>
      <c r="L111" s="1"/>
      <c r="M111" s="1"/>
      <c r="N111" s="102">
        <v>35000</v>
      </c>
      <c r="O111" s="579">
        <v>0</v>
      </c>
    </row>
    <row r="112" spans="2:18" ht="15.75" x14ac:dyDescent="0.25">
      <c r="C112" s="576" t="s">
        <v>1023</v>
      </c>
      <c r="D112" s="579">
        <v>30000</v>
      </c>
      <c r="E112" s="591"/>
      <c r="F112" s="102"/>
      <c r="G112" s="102"/>
      <c r="H112" s="102">
        <v>30000</v>
      </c>
      <c r="I112" s="1"/>
      <c r="J112" s="1"/>
      <c r="K112" s="1"/>
      <c r="L112" s="1"/>
      <c r="M112" s="1"/>
      <c r="N112" s="102">
        <v>0</v>
      </c>
      <c r="O112" s="579">
        <v>100000</v>
      </c>
    </row>
    <row r="113" spans="3:15" ht="15.75" x14ac:dyDescent="0.25">
      <c r="C113" s="576" t="s">
        <v>1024</v>
      </c>
      <c r="D113" s="579">
        <v>0</v>
      </c>
      <c r="E113" s="591"/>
      <c r="F113" s="102"/>
      <c r="G113" s="102"/>
      <c r="H113" s="102">
        <v>0</v>
      </c>
      <c r="I113" s="1"/>
      <c r="J113" s="1"/>
      <c r="K113" s="1"/>
      <c r="L113" s="1"/>
      <c r="M113" s="1"/>
      <c r="N113" s="102">
        <v>0</v>
      </c>
      <c r="O113" s="579">
        <v>0</v>
      </c>
    </row>
    <row r="114" spans="3:15" ht="47.25" x14ac:dyDescent="0.25">
      <c r="C114" s="576" t="s">
        <v>1025</v>
      </c>
      <c r="D114" s="579">
        <v>0</v>
      </c>
      <c r="E114" s="591"/>
      <c r="F114" s="102"/>
      <c r="G114" s="102"/>
      <c r="H114" s="102">
        <v>0</v>
      </c>
      <c r="I114" s="1"/>
      <c r="J114" s="1"/>
      <c r="K114" s="1"/>
      <c r="L114" s="1"/>
      <c r="M114" s="1"/>
      <c r="N114" s="102">
        <v>15000</v>
      </c>
      <c r="O114" s="579">
        <v>0</v>
      </c>
    </row>
    <row r="115" spans="3:15" ht="31.5" x14ac:dyDescent="0.25">
      <c r="C115" s="576" t="s">
        <v>1028</v>
      </c>
      <c r="D115" s="579">
        <v>50000</v>
      </c>
      <c r="E115" s="591"/>
      <c r="F115" s="102"/>
      <c r="G115" s="102"/>
      <c r="H115" s="102">
        <v>50000</v>
      </c>
      <c r="I115" s="1"/>
      <c r="J115" s="1"/>
      <c r="K115" s="1"/>
      <c r="L115" s="1"/>
      <c r="M115" s="1"/>
      <c r="N115" s="102">
        <v>0</v>
      </c>
      <c r="O115" s="579">
        <v>0</v>
      </c>
    </row>
    <row r="116" spans="3:15" ht="15.75" x14ac:dyDescent="0.25">
      <c r="C116" s="576" t="s">
        <v>1029</v>
      </c>
      <c r="D116" s="579">
        <v>12000</v>
      </c>
      <c r="E116" s="591"/>
      <c r="F116" s="102"/>
      <c r="G116" s="102"/>
      <c r="H116" s="102">
        <v>12000</v>
      </c>
      <c r="I116" s="1"/>
      <c r="J116" s="1"/>
      <c r="K116" s="1"/>
      <c r="L116" s="1"/>
      <c r="M116" s="1"/>
      <c r="N116" s="102">
        <v>12000</v>
      </c>
      <c r="O116" s="102"/>
    </row>
    <row r="117" spans="3:15" x14ac:dyDescent="0.25">
      <c r="H117" s="60">
        <f t="shared" ref="H117:O117" si="9">SUM(H76:H116)</f>
        <v>974865.47</v>
      </c>
      <c r="I117" s="60">
        <f t="shared" si="9"/>
        <v>0</v>
      </c>
      <c r="J117" s="60">
        <f t="shared" si="9"/>
        <v>0</v>
      </c>
      <c r="K117" s="60">
        <f t="shared" si="9"/>
        <v>0</v>
      </c>
      <c r="L117" s="60">
        <f t="shared" si="9"/>
        <v>0</v>
      </c>
      <c r="M117" s="60">
        <f t="shared" si="9"/>
        <v>0</v>
      </c>
      <c r="N117" s="60">
        <f t="shared" si="9"/>
        <v>976365.47</v>
      </c>
      <c r="O117" s="60">
        <f t="shared" si="9"/>
        <v>574365.47</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Y138"/>
  <sheetViews>
    <sheetView tabSelected="1" zoomScale="75" zoomScaleNormal="75" workbookViewId="0">
      <selection sqref="A1:Y1"/>
    </sheetView>
  </sheetViews>
  <sheetFormatPr defaultRowHeight="12.75" x14ac:dyDescent="0.2"/>
  <cols>
    <col min="1" max="1" width="17.85546875" style="62" customWidth="1"/>
    <col min="2" max="2" width="16.85546875" style="62" customWidth="1"/>
    <col min="3" max="3" width="14.5703125" style="62" customWidth="1"/>
    <col min="4" max="5" width="15.85546875" style="62" customWidth="1"/>
    <col min="6" max="6" width="17.140625" style="62" hidden="1" customWidth="1"/>
    <col min="7" max="7" width="13.140625" style="62" hidden="1" customWidth="1"/>
    <col min="8" max="8" width="12.140625" style="62" hidden="1" customWidth="1"/>
    <col min="9" max="9" width="12.85546875" style="62" hidden="1" customWidth="1"/>
    <col min="10" max="10" width="14.42578125" style="62" hidden="1" customWidth="1"/>
    <col min="11" max="11" width="14.85546875" style="62" bestFit="1" customWidth="1"/>
    <col min="12" max="12" width="31.7109375" style="62" customWidth="1"/>
    <col min="13" max="13" width="12.5703125" style="62" customWidth="1"/>
    <col min="14" max="14" width="17" style="62" customWidth="1"/>
    <col min="15" max="15" width="13.140625" style="62" customWidth="1"/>
    <col min="16" max="20" width="14.7109375" style="62" customWidth="1"/>
    <col min="21" max="21" width="12.5703125" style="62" customWidth="1"/>
    <col min="22" max="22" width="15.140625" style="62" customWidth="1"/>
    <col min="23" max="23" width="14.7109375" style="62" customWidth="1"/>
    <col min="24" max="24" width="19.140625" style="62" customWidth="1"/>
    <col min="25" max="25" width="20.28515625" style="62" customWidth="1"/>
    <col min="26" max="26" width="13" style="62" customWidth="1"/>
    <col min="27" max="256" width="9.140625" style="62"/>
    <col min="257" max="257" width="17.85546875" style="62" customWidth="1"/>
    <col min="258" max="258" width="16.85546875" style="62" customWidth="1"/>
    <col min="259" max="259" width="14.5703125" style="62" customWidth="1"/>
    <col min="260" max="261" width="15.85546875" style="62" customWidth="1"/>
    <col min="262" max="262" width="17.140625" style="62" customWidth="1"/>
    <col min="263" max="263" width="13.140625" style="62" customWidth="1"/>
    <col min="264" max="264" width="12.140625" style="62" customWidth="1"/>
    <col min="265" max="265" width="12.85546875" style="62" customWidth="1"/>
    <col min="266" max="266" width="14.42578125" style="62" customWidth="1"/>
    <col min="267" max="267" width="12.7109375" style="62" customWidth="1"/>
    <col min="268" max="268" width="17.5703125" style="62" customWidth="1"/>
    <col min="269" max="269" width="12.5703125" style="62" customWidth="1"/>
    <col min="270" max="270" width="17" style="62" customWidth="1"/>
    <col min="271" max="271" width="13.140625" style="62" customWidth="1"/>
    <col min="272" max="276" width="14.7109375" style="62" customWidth="1"/>
    <col min="277" max="277" width="12.5703125" style="62" customWidth="1"/>
    <col min="278" max="278" width="9.85546875" style="62" customWidth="1"/>
    <col min="279" max="279" width="14.7109375" style="62" customWidth="1"/>
    <col min="280" max="280" width="19.140625" style="62" customWidth="1"/>
    <col min="281" max="281" width="20.28515625" style="62" customWidth="1"/>
    <col min="282" max="282" width="13" style="62" customWidth="1"/>
    <col min="283" max="512" width="9.140625" style="62"/>
    <col min="513" max="513" width="17.85546875" style="62" customWidth="1"/>
    <col min="514" max="514" width="16.85546875" style="62" customWidth="1"/>
    <col min="515" max="515" width="14.5703125" style="62" customWidth="1"/>
    <col min="516" max="517" width="15.85546875" style="62" customWidth="1"/>
    <col min="518" max="518" width="17.140625" style="62" customWidth="1"/>
    <col min="519" max="519" width="13.140625" style="62" customWidth="1"/>
    <col min="520" max="520" width="12.140625" style="62" customWidth="1"/>
    <col min="521" max="521" width="12.85546875" style="62" customWidth="1"/>
    <col min="522" max="522" width="14.42578125" style="62" customWidth="1"/>
    <col min="523" max="523" width="12.7109375" style="62" customWidth="1"/>
    <col min="524" max="524" width="17.5703125" style="62" customWidth="1"/>
    <col min="525" max="525" width="12.5703125" style="62" customWidth="1"/>
    <col min="526" max="526" width="17" style="62" customWidth="1"/>
    <col min="527" max="527" width="13.140625" style="62" customWidth="1"/>
    <col min="528" max="532" width="14.7109375" style="62" customWidth="1"/>
    <col min="533" max="533" width="12.5703125" style="62" customWidth="1"/>
    <col min="534" max="534" width="9.85546875" style="62" customWidth="1"/>
    <col min="535" max="535" width="14.7109375" style="62" customWidth="1"/>
    <col min="536" max="536" width="19.140625" style="62" customWidth="1"/>
    <col min="537" max="537" width="20.28515625" style="62" customWidth="1"/>
    <col min="538" max="538" width="13" style="62" customWidth="1"/>
    <col min="539" max="768" width="9.140625" style="62"/>
    <col min="769" max="769" width="17.85546875" style="62" customWidth="1"/>
    <col min="770" max="770" width="16.85546875" style="62" customWidth="1"/>
    <col min="771" max="771" width="14.5703125" style="62" customWidth="1"/>
    <col min="772" max="773" width="15.85546875" style="62" customWidth="1"/>
    <col min="774" max="774" width="17.140625" style="62" customWidth="1"/>
    <col min="775" max="775" width="13.140625" style="62" customWidth="1"/>
    <col min="776" max="776" width="12.140625" style="62" customWidth="1"/>
    <col min="777" max="777" width="12.85546875" style="62" customWidth="1"/>
    <col min="778" max="778" width="14.42578125" style="62" customWidth="1"/>
    <col min="779" max="779" width="12.7109375" style="62" customWidth="1"/>
    <col min="780" max="780" width="17.5703125" style="62" customWidth="1"/>
    <col min="781" max="781" width="12.5703125" style="62" customWidth="1"/>
    <col min="782" max="782" width="17" style="62" customWidth="1"/>
    <col min="783" max="783" width="13.140625" style="62" customWidth="1"/>
    <col min="784" max="788" width="14.7109375" style="62" customWidth="1"/>
    <col min="789" max="789" width="12.5703125" style="62" customWidth="1"/>
    <col min="790" max="790" width="9.85546875" style="62" customWidth="1"/>
    <col min="791" max="791" width="14.7109375" style="62" customWidth="1"/>
    <col min="792" max="792" width="19.140625" style="62" customWidth="1"/>
    <col min="793" max="793" width="20.28515625" style="62" customWidth="1"/>
    <col min="794" max="794" width="13" style="62" customWidth="1"/>
    <col min="795" max="1024" width="9.140625" style="62"/>
    <col min="1025" max="1025" width="17.85546875" style="62" customWidth="1"/>
    <col min="1026" max="1026" width="16.85546875" style="62" customWidth="1"/>
    <col min="1027" max="1027" width="14.5703125" style="62" customWidth="1"/>
    <col min="1028" max="1029" width="15.85546875" style="62" customWidth="1"/>
    <col min="1030" max="1030" width="17.140625" style="62" customWidth="1"/>
    <col min="1031" max="1031" width="13.140625" style="62" customWidth="1"/>
    <col min="1032" max="1032" width="12.140625" style="62" customWidth="1"/>
    <col min="1033" max="1033" width="12.85546875" style="62" customWidth="1"/>
    <col min="1034" max="1034" width="14.42578125" style="62" customWidth="1"/>
    <col min="1035" max="1035" width="12.7109375" style="62" customWidth="1"/>
    <col min="1036" max="1036" width="17.5703125" style="62" customWidth="1"/>
    <col min="1037" max="1037" width="12.5703125" style="62" customWidth="1"/>
    <col min="1038" max="1038" width="17" style="62" customWidth="1"/>
    <col min="1039" max="1039" width="13.140625" style="62" customWidth="1"/>
    <col min="1040" max="1044" width="14.7109375" style="62" customWidth="1"/>
    <col min="1045" max="1045" width="12.5703125" style="62" customWidth="1"/>
    <col min="1046" max="1046" width="9.85546875" style="62" customWidth="1"/>
    <col min="1047" max="1047" width="14.7109375" style="62" customWidth="1"/>
    <col min="1048" max="1048" width="19.140625" style="62" customWidth="1"/>
    <col min="1049" max="1049" width="20.28515625" style="62" customWidth="1"/>
    <col min="1050" max="1050" width="13" style="62" customWidth="1"/>
    <col min="1051" max="1280" width="9.140625" style="62"/>
    <col min="1281" max="1281" width="17.85546875" style="62" customWidth="1"/>
    <col min="1282" max="1282" width="16.85546875" style="62" customWidth="1"/>
    <col min="1283" max="1283" width="14.5703125" style="62" customWidth="1"/>
    <col min="1284" max="1285" width="15.85546875" style="62" customWidth="1"/>
    <col min="1286" max="1286" width="17.140625" style="62" customWidth="1"/>
    <col min="1287" max="1287" width="13.140625" style="62" customWidth="1"/>
    <col min="1288" max="1288" width="12.140625" style="62" customWidth="1"/>
    <col min="1289" max="1289" width="12.85546875" style="62" customWidth="1"/>
    <col min="1290" max="1290" width="14.42578125" style="62" customWidth="1"/>
    <col min="1291" max="1291" width="12.7109375" style="62" customWidth="1"/>
    <col min="1292" max="1292" width="17.5703125" style="62" customWidth="1"/>
    <col min="1293" max="1293" width="12.5703125" style="62" customWidth="1"/>
    <col min="1294" max="1294" width="17" style="62" customWidth="1"/>
    <col min="1295" max="1295" width="13.140625" style="62" customWidth="1"/>
    <col min="1296" max="1300" width="14.7109375" style="62" customWidth="1"/>
    <col min="1301" max="1301" width="12.5703125" style="62" customWidth="1"/>
    <col min="1302" max="1302" width="9.85546875" style="62" customWidth="1"/>
    <col min="1303" max="1303" width="14.7109375" style="62" customWidth="1"/>
    <col min="1304" max="1304" width="19.140625" style="62" customWidth="1"/>
    <col min="1305" max="1305" width="20.28515625" style="62" customWidth="1"/>
    <col min="1306" max="1306" width="13" style="62" customWidth="1"/>
    <col min="1307" max="1536" width="9.140625" style="62"/>
    <col min="1537" max="1537" width="17.85546875" style="62" customWidth="1"/>
    <col min="1538" max="1538" width="16.85546875" style="62" customWidth="1"/>
    <col min="1539" max="1539" width="14.5703125" style="62" customWidth="1"/>
    <col min="1540" max="1541" width="15.85546875" style="62" customWidth="1"/>
    <col min="1542" max="1542" width="17.140625" style="62" customWidth="1"/>
    <col min="1543" max="1543" width="13.140625" style="62" customWidth="1"/>
    <col min="1544" max="1544" width="12.140625" style="62" customWidth="1"/>
    <col min="1545" max="1545" width="12.85546875" style="62" customWidth="1"/>
    <col min="1546" max="1546" width="14.42578125" style="62" customWidth="1"/>
    <col min="1547" max="1547" width="12.7109375" style="62" customWidth="1"/>
    <col min="1548" max="1548" width="17.5703125" style="62" customWidth="1"/>
    <col min="1549" max="1549" width="12.5703125" style="62" customWidth="1"/>
    <col min="1550" max="1550" width="17" style="62" customWidth="1"/>
    <col min="1551" max="1551" width="13.140625" style="62" customWidth="1"/>
    <col min="1552" max="1556" width="14.7109375" style="62" customWidth="1"/>
    <col min="1557" max="1557" width="12.5703125" style="62" customWidth="1"/>
    <col min="1558" max="1558" width="9.85546875" style="62" customWidth="1"/>
    <col min="1559" max="1559" width="14.7109375" style="62" customWidth="1"/>
    <col min="1560" max="1560" width="19.140625" style="62" customWidth="1"/>
    <col min="1561" max="1561" width="20.28515625" style="62" customWidth="1"/>
    <col min="1562" max="1562" width="13" style="62" customWidth="1"/>
    <col min="1563" max="1792" width="9.140625" style="62"/>
    <col min="1793" max="1793" width="17.85546875" style="62" customWidth="1"/>
    <col min="1794" max="1794" width="16.85546875" style="62" customWidth="1"/>
    <col min="1795" max="1795" width="14.5703125" style="62" customWidth="1"/>
    <col min="1796" max="1797" width="15.85546875" style="62" customWidth="1"/>
    <col min="1798" max="1798" width="17.140625" style="62" customWidth="1"/>
    <col min="1799" max="1799" width="13.140625" style="62" customWidth="1"/>
    <col min="1800" max="1800" width="12.140625" style="62" customWidth="1"/>
    <col min="1801" max="1801" width="12.85546875" style="62" customWidth="1"/>
    <col min="1802" max="1802" width="14.42578125" style="62" customWidth="1"/>
    <col min="1803" max="1803" width="12.7109375" style="62" customWidth="1"/>
    <col min="1804" max="1804" width="17.5703125" style="62" customWidth="1"/>
    <col min="1805" max="1805" width="12.5703125" style="62" customWidth="1"/>
    <col min="1806" max="1806" width="17" style="62" customWidth="1"/>
    <col min="1807" max="1807" width="13.140625" style="62" customWidth="1"/>
    <col min="1808" max="1812" width="14.7109375" style="62" customWidth="1"/>
    <col min="1813" max="1813" width="12.5703125" style="62" customWidth="1"/>
    <col min="1814" max="1814" width="9.85546875" style="62" customWidth="1"/>
    <col min="1815" max="1815" width="14.7109375" style="62" customWidth="1"/>
    <col min="1816" max="1816" width="19.140625" style="62" customWidth="1"/>
    <col min="1817" max="1817" width="20.28515625" style="62" customWidth="1"/>
    <col min="1818" max="1818" width="13" style="62" customWidth="1"/>
    <col min="1819" max="2048" width="9.140625" style="62"/>
    <col min="2049" max="2049" width="17.85546875" style="62" customWidth="1"/>
    <col min="2050" max="2050" width="16.85546875" style="62" customWidth="1"/>
    <col min="2051" max="2051" width="14.5703125" style="62" customWidth="1"/>
    <col min="2052" max="2053" width="15.85546875" style="62" customWidth="1"/>
    <col min="2054" max="2054" width="17.140625" style="62" customWidth="1"/>
    <col min="2055" max="2055" width="13.140625" style="62" customWidth="1"/>
    <col min="2056" max="2056" width="12.140625" style="62" customWidth="1"/>
    <col min="2057" max="2057" width="12.85546875" style="62" customWidth="1"/>
    <col min="2058" max="2058" width="14.42578125" style="62" customWidth="1"/>
    <col min="2059" max="2059" width="12.7109375" style="62" customWidth="1"/>
    <col min="2060" max="2060" width="17.5703125" style="62" customWidth="1"/>
    <col min="2061" max="2061" width="12.5703125" style="62" customWidth="1"/>
    <col min="2062" max="2062" width="17" style="62" customWidth="1"/>
    <col min="2063" max="2063" width="13.140625" style="62" customWidth="1"/>
    <col min="2064" max="2068" width="14.7109375" style="62" customWidth="1"/>
    <col min="2069" max="2069" width="12.5703125" style="62" customWidth="1"/>
    <col min="2070" max="2070" width="9.85546875" style="62" customWidth="1"/>
    <col min="2071" max="2071" width="14.7109375" style="62" customWidth="1"/>
    <col min="2072" max="2072" width="19.140625" style="62" customWidth="1"/>
    <col min="2073" max="2073" width="20.28515625" style="62" customWidth="1"/>
    <col min="2074" max="2074" width="13" style="62" customWidth="1"/>
    <col min="2075" max="2304" width="9.140625" style="62"/>
    <col min="2305" max="2305" width="17.85546875" style="62" customWidth="1"/>
    <col min="2306" max="2306" width="16.85546875" style="62" customWidth="1"/>
    <col min="2307" max="2307" width="14.5703125" style="62" customWidth="1"/>
    <col min="2308" max="2309" width="15.85546875" style="62" customWidth="1"/>
    <col min="2310" max="2310" width="17.140625" style="62" customWidth="1"/>
    <col min="2311" max="2311" width="13.140625" style="62" customWidth="1"/>
    <col min="2312" max="2312" width="12.140625" style="62" customWidth="1"/>
    <col min="2313" max="2313" width="12.85546875" style="62" customWidth="1"/>
    <col min="2314" max="2314" width="14.42578125" style="62" customWidth="1"/>
    <col min="2315" max="2315" width="12.7109375" style="62" customWidth="1"/>
    <col min="2316" max="2316" width="17.5703125" style="62" customWidth="1"/>
    <col min="2317" max="2317" width="12.5703125" style="62" customWidth="1"/>
    <col min="2318" max="2318" width="17" style="62" customWidth="1"/>
    <col min="2319" max="2319" width="13.140625" style="62" customWidth="1"/>
    <col min="2320" max="2324" width="14.7109375" style="62" customWidth="1"/>
    <col min="2325" max="2325" width="12.5703125" style="62" customWidth="1"/>
    <col min="2326" max="2326" width="9.85546875" style="62" customWidth="1"/>
    <col min="2327" max="2327" width="14.7109375" style="62" customWidth="1"/>
    <col min="2328" max="2328" width="19.140625" style="62" customWidth="1"/>
    <col min="2329" max="2329" width="20.28515625" style="62" customWidth="1"/>
    <col min="2330" max="2330" width="13" style="62" customWidth="1"/>
    <col min="2331" max="2560" width="9.140625" style="62"/>
    <col min="2561" max="2561" width="17.85546875" style="62" customWidth="1"/>
    <col min="2562" max="2562" width="16.85546875" style="62" customWidth="1"/>
    <col min="2563" max="2563" width="14.5703125" style="62" customWidth="1"/>
    <col min="2564" max="2565" width="15.85546875" style="62" customWidth="1"/>
    <col min="2566" max="2566" width="17.140625" style="62" customWidth="1"/>
    <col min="2567" max="2567" width="13.140625" style="62" customWidth="1"/>
    <col min="2568" max="2568" width="12.140625" style="62" customWidth="1"/>
    <col min="2569" max="2569" width="12.85546875" style="62" customWidth="1"/>
    <col min="2570" max="2570" width="14.42578125" style="62" customWidth="1"/>
    <col min="2571" max="2571" width="12.7109375" style="62" customWidth="1"/>
    <col min="2572" max="2572" width="17.5703125" style="62" customWidth="1"/>
    <col min="2573" max="2573" width="12.5703125" style="62" customWidth="1"/>
    <col min="2574" max="2574" width="17" style="62" customWidth="1"/>
    <col min="2575" max="2575" width="13.140625" style="62" customWidth="1"/>
    <col min="2576" max="2580" width="14.7109375" style="62" customWidth="1"/>
    <col min="2581" max="2581" width="12.5703125" style="62" customWidth="1"/>
    <col min="2582" max="2582" width="9.85546875" style="62" customWidth="1"/>
    <col min="2583" max="2583" width="14.7109375" style="62" customWidth="1"/>
    <col min="2584" max="2584" width="19.140625" style="62" customWidth="1"/>
    <col min="2585" max="2585" width="20.28515625" style="62" customWidth="1"/>
    <col min="2586" max="2586" width="13" style="62" customWidth="1"/>
    <col min="2587" max="2816" width="9.140625" style="62"/>
    <col min="2817" max="2817" width="17.85546875" style="62" customWidth="1"/>
    <col min="2818" max="2818" width="16.85546875" style="62" customWidth="1"/>
    <col min="2819" max="2819" width="14.5703125" style="62" customWidth="1"/>
    <col min="2820" max="2821" width="15.85546875" style="62" customWidth="1"/>
    <col min="2822" max="2822" width="17.140625" style="62" customWidth="1"/>
    <col min="2823" max="2823" width="13.140625" style="62" customWidth="1"/>
    <col min="2824" max="2824" width="12.140625" style="62" customWidth="1"/>
    <col min="2825" max="2825" width="12.85546875" style="62" customWidth="1"/>
    <col min="2826" max="2826" width="14.42578125" style="62" customWidth="1"/>
    <col min="2827" max="2827" width="12.7109375" style="62" customWidth="1"/>
    <col min="2828" max="2828" width="17.5703125" style="62" customWidth="1"/>
    <col min="2829" max="2829" width="12.5703125" style="62" customWidth="1"/>
    <col min="2830" max="2830" width="17" style="62" customWidth="1"/>
    <col min="2831" max="2831" width="13.140625" style="62" customWidth="1"/>
    <col min="2832" max="2836" width="14.7109375" style="62" customWidth="1"/>
    <col min="2837" max="2837" width="12.5703125" style="62" customWidth="1"/>
    <col min="2838" max="2838" width="9.85546875" style="62" customWidth="1"/>
    <col min="2839" max="2839" width="14.7109375" style="62" customWidth="1"/>
    <col min="2840" max="2840" width="19.140625" style="62" customWidth="1"/>
    <col min="2841" max="2841" width="20.28515625" style="62" customWidth="1"/>
    <col min="2842" max="2842" width="13" style="62" customWidth="1"/>
    <col min="2843" max="3072" width="9.140625" style="62"/>
    <col min="3073" max="3073" width="17.85546875" style="62" customWidth="1"/>
    <col min="3074" max="3074" width="16.85546875" style="62" customWidth="1"/>
    <col min="3075" max="3075" width="14.5703125" style="62" customWidth="1"/>
    <col min="3076" max="3077" width="15.85546875" style="62" customWidth="1"/>
    <col min="3078" max="3078" width="17.140625" style="62" customWidth="1"/>
    <col min="3079" max="3079" width="13.140625" style="62" customWidth="1"/>
    <col min="3080" max="3080" width="12.140625" style="62" customWidth="1"/>
    <col min="3081" max="3081" width="12.85546875" style="62" customWidth="1"/>
    <col min="3082" max="3082" width="14.42578125" style="62" customWidth="1"/>
    <col min="3083" max="3083" width="12.7109375" style="62" customWidth="1"/>
    <col min="3084" max="3084" width="17.5703125" style="62" customWidth="1"/>
    <col min="3085" max="3085" width="12.5703125" style="62" customWidth="1"/>
    <col min="3086" max="3086" width="17" style="62" customWidth="1"/>
    <col min="3087" max="3087" width="13.140625" style="62" customWidth="1"/>
    <col min="3088" max="3092" width="14.7109375" style="62" customWidth="1"/>
    <col min="3093" max="3093" width="12.5703125" style="62" customWidth="1"/>
    <col min="3094" max="3094" width="9.85546875" style="62" customWidth="1"/>
    <col min="3095" max="3095" width="14.7109375" style="62" customWidth="1"/>
    <col min="3096" max="3096" width="19.140625" style="62" customWidth="1"/>
    <col min="3097" max="3097" width="20.28515625" style="62" customWidth="1"/>
    <col min="3098" max="3098" width="13" style="62" customWidth="1"/>
    <col min="3099" max="3328" width="9.140625" style="62"/>
    <col min="3329" max="3329" width="17.85546875" style="62" customWidth="1"/>
    <col min="3330" max="3330" width="16.85546875" style="62" customWidth="1"/>
    <col min="3331" max="3331" width="14.5703125" style="62" customWidth="1"/>
    <col min="3332" max="3333" width="15.85546875" style="62" customWidth="1"/>
    <col min="3334" max="3334" width="17.140625" style="62" customWidth="1"/>
    <col min="3335" max="3335" width="13.140625" style="62" customWidth="1"/>
    <col min="3336" max="3336" width="12.140625" style="62" customWidth="1"/>
    <col min="3337" max="3337" width="12.85546875" style="62" customWidth="1"/>
    <col min="3338" max="3338" width="14.42578125" style="62" customWidth="1"/>
    <col min="3339" max="3339" width="12.7109375" style="62" customWidth="1"/>
    <col min="3340" max="3340" width="17.5703125" style="62" customWidth="1"/>
    <col min="3341" max="3341" width="12.5703125" style="62" customWidth="1"/>
    <col min="3342" max="3342" width="17" style="62" customWidth="1"/>
    <col min="3343" max="3343" width="13.140625" style="62" customWidth="1"/>
    <col min="3344" max="3348" width="14.7109375" style="62" customWidth="1"/>
    <col min="3349" max="3349" width="12.5703125" style="62" customWidth="1"/>
    <col min="3350" max="3350" width="9.85546875" style="62" customWidth="1"/>
    <col min="3351" max="3351" width="14.7109375" style="62" customWidth="1"/>
    <col min="3352" max="3352" width="19.140625" style="62" customWidth="1"/>
    <col min="3353" max="3353" width="20.28515625" style="62" customWidth="1"/>
    <col min="3354" max="3354" width="13" style="62" customWidth="1"/>
    <col min="3355" max="3584" width="9.140625" style="62"/>
    <col min="3585" max="3585" width="17.85546875" style="62" customWidth="1"/>
    <col min="3586" max="3586" width="16.85546875" style="62" customWidth="1"/>
    <col min="3587" max="3587" width="14.5703125" style="62" customWidth="1"/>
    <col min="3588" max="3589" width="15.85546875" style="62" customWidth="1"/>
    <col min="3590" max="3590" width="17.140625" style="62" customWidth="1"/>
    <col min="3591" max="3591" width="13.140625" style="62" customWidth="1"/>
    <col min="3592" max="3592" width="12.140625" style="62" customWidth="1"/>
    <col min="3593" max="3593" width="12.85546875" style="62" customWidth="1"/>
    <col min="3594" max="3594" width="14.42578125" style="62" customWidth="1"/>
    <col min="3595" max="3595" width="12.7109375" style="62" customWidth="1"/>
    <col min="3596" max="3596" width="17.5703125" style="62" customWidth="1"/>
    <col min="3597" max="3597" width="12.5703125" style="62" customWidth="1"/>
    <col min="3598" max="3598" width="17" style="62" customWidth="1"/>
    <col min="3599" max="3599" width="13.140625" style="62" customWidth="1"/>
    <col min="3600" max="3604" width="14.7109375" style="62" customWidth="1"/>
    <col min="3605" max="3605" width="12.5703125" style="62" customWidth="1"/>
    <col min="3606" max="3606" width="9.85546875" style="62" customWidth="1"/>
    <col min="3607" max="3607" width="14.7109375" style="62" customWidth="1"/>
    <col min="3608" max="3608" width="19.140625" style="62" customWidth="1"/>
    <col min="3609" max="3609" width="20.28515625" style="62" customWidth="1"/>
    <col min="3610" max="3610" width="13" style="62" customWidth="1"/>
    <col min="3611" max="3840" width="9.140625" style="62"/>
    <col min="3841" max="3841" width="17.85546875" style="62" customWidth="1"/>
    <col min="3842" max="3842" width="16.85546875" style="62" customWidth="1"/>
    <col min="3843" max="3843" width="14.5703125" style="62" customWidth="1"/>
    <col min="3844" max="3845" width="15.85546875" style="62" customWidth="1"/>
    <col min="3846" max="3846" width="17.140625" style="62" customWidth="1"/>
    <col min="3847" max="3847" width="13.140625" style="62" customWidth="1"/>
    <col min="3848" max="3848" width="12.140625" style="62" customWidth="1"/>
    <col min="3849" max="3849" width="12.85546875" style="62" customWidth="1"/>
    <col min="3850" max="3850" width="14.42578125" style="62" customWidth="1"/>
    <col min="3851" max="3851" width="12.7109375" style="62" customWidth="1"/>
    <col min="3852" max="3852" width="17.5703125" style="62" customWidth="1"/>
    <col min="3853" max="3853" width="12.5703125" style="62" customWidth="1"/>
    <col min="3854" max="3854" width="17" style="62" customWidth="1"/>
    <col min="3855" max="3855" width="13.140625" style="62" customWidth="1"/>
    <col min="3856" max="3860" width="14.7109375" style="62" customWidth="1"/>
    <col min="3861" max="3861" width="12.5703125" style="62" customWidth="1"/>
    <col min="3862" max="3862" width="9.85546875" style="62" customWidth="1"/>
    <col min="3863" max="3863" width="14.7109375" style="62" customWidth="1"/>
    <col min="3864" max="3864" width="19.140625" style="62" customWidth="1"/>
    <col min="3865" max="3865" width="20.28515625" style="62" customWidth="1"/>
    <col min="3866" max="3866" width="13" style="62" customWidth="1"/>
    <col min="3867" max="4096" width="9.140625" style="62"/>
    <col min="4097" max="4097" width="17.85546875" style="62" customWidth="1"/>
    <col min="4098" max="4098" width="16.85546875" style="62" customWidth="1"/>
    <col min="4099" max="4099" width="14.5703125" style="62" customWidth="1"/>
    <col min="4100" max="4101" width="15.85546875" style="62" customWidth="1"/>
    <col min="4102" max="4102" width="17.140625" style="62" customWidth="1"/>
    <col min="4103" max="4103" width="13.140625" style="62" customWidth="1"/>
    <col min="4104" max="4104" width="12.140625" style="62" customWidth="1"/>
    <col min="4105" max="4105" width="12.85546875" style="62" customWidth="1"/>
    <col min="4106" max="4106" width="14.42578125" style="62" customWidth="1"/>
    <col min="4107" max="4107" width="12.7109375" style="62" customWidth="1"/>
    <col min="4108" max="4108" width="17.5703125" style="62" customWidth="1"/>
    <col min="4109" max="4109" width="12.5703125" style="62" customWidth="1"/>
    <col min="4110" max="4110" width="17" style="62" customWidth="1"/>
    <col min="4111" max="4111" width="13.140625" style="62" customWidth="1"/>
    <col min="4112" max="4116" width="14.7109375" style="62" customWidth="1"/>
    <col min="4117" max="4117" width="12.5703125" style="62" customWidth="1"/>
    <col min="4118" max="4118" width="9.85546875" style="62" customWidth="1"/>
    <col min="4119" max="4119" width="14.7109375" style="62" customWidth="1"/>
    <col min="4120" max="4120" width="19.140625" style="62" customWidth="1"/>
    <col min="4121" max="4121" width="20.28515625" style="62" customWidth="1"/>
    <col min="4122" max="4122" width="13" style="62" customWidth="1"/>
    <col min="4123" max="4352" width="9.140625" style="62"/>
    <col min="4353" max="4353" width="17.85546875" style="62" customWidth="1"/>
    <col min="4354" max="4354" width="16.85546875" style="62" customWidth="1"/>
    <col min="4355" max="4355" width="14.5703125" style="62" customWidth="1"/>
    <col min="4356" max="4357" width="15.85546875" style="62" customWidth="1"/>
    <col min="4358" max="4358" width="17.140625" style="62" customWidth="1"/>
    <col min="4359" max="4359" width="13.140625" style="62" customWidth="1"/>
    <col min="4360" max="4360" width="12.140625" style="62" customWidth="1"/>
    <col min="4361" max="4361" width="12.85546875" style="62" customWidth="1"/>
    <col min="4362" max="4362" width="14.42578125" style="62" customWidth="1"/>
    <col min="4363" max="4363" width="12.7109375" style="62" customWidth="1"/>
    <col min="4364" max="4364" width="17.5703125" style="62" customWidth="1"/>
    <col min="4365" max="4365" width="12.5703125" style="62" customWidth="1"/>
    <col min="4366" max="4366" width="17" style="62" customWidth="1"/>
    <col min="4367" max="4367" width="13.140625" style="62" customWidth="1"/>
    <col min="4368" max="4372" width="14.7109375" style="62" customWidth="1"/>
    <col min="4373" max="4373" width="12.5703125" style="62" customWidth="1"/>
    <col min="4374" max="4374" width="9.85546875" style="62" customWidth="1"/>
    <col min="4375" max="4375" width="14.7109375" style="62" customWidth="1"/>
    <col min="4376" max="4376" width="19.140625" style="62" customWidth="1"/>
    <col min="4377" max="4377" width="20.28515625" style="62" customWidth="1"/>
    <col min="4378" max="4378" width="13" style="62" customWidth="1"/>
    <col min="4379" max="4608" width="9.140625" style="62"/>
    <col min="4609" max="4609" width="17.85546875" style="62" customWidth="1"/>
    <col min="4610" max="4610" width="16.85546875" style="62" customWidth="1"/>
    <col min="4611" max="4611" width="14.5703125" style="62" customWidth="1"/>
    <col min="4612" max="4613" width="15.85546875" style="62" customWidth="1"/>
    <col min="4614" max="4614" width="17.140625" style="62" customWidth="1"/>
    <col min="4615" max="4615" width="13.140625" style="62" customWidth="1"/>
    <col min="4616" max="4616" width="12.140625" style="62" customWidth="1"/>
    <col min="4617" max="4617" width="12.85546875" style="62" customWidth="1"/>
    <col min="4618" max="4618" width="14.42578125" style="62" customWidth="1"/>
    <col min="4619" max="4619" width="12.7109375" style="62" customWidth="1"/>
    <col min="4620" max="4620" width="17.5703125" style="62" customWidth="1"/>
    <col min="4621" max="4621" width="12.5703125" style="62" customWidth="1"/>
    <col min="4622" max="4622" width="17" style="62" customWidth="1"/>
    <col min="4623" max="4623" width="13.140625" style="62" customWidth="1"/>
    <col min="4624" max="4628" width="14.7109375" style="62" customWidth="1"/>
    <col min="4629" max="4629" width="12.5703125" style="62" customWidth="1"/>
    <col min="4630" max="4630" width="9.85546875" style="62" customWidth="1"/>
    <col min="4631" max="4631" width="14.7109375" style="62" customWidth="1"/>
    <col min="4632" max="4632" width="19.140625" style="62" customWidth="1"/>
    <col min="4633" max="4633" width="20.28515625" style="62" customWidth="1"/>
    <col min="4634" max="4634" width="13" style="62" customWidth="1"/>
    <col min="4635" max="4864" width="9.140625" style="62"/>
    <col min="4865" max="4865" width="17.85546875" style="62" customWidth="1"/>
    <col min="4866" max="4866" width="16.85546875" style="62" customWidth="1"/>
    <col min="4867" max="4867" width="14.5703125" style="62" customWidth="1"/>
    <col min="4868" max="4869" width="15.85546875" style="62" customWidth="1"/>
    <col min="4870" max="4870" width="17.140625" style="62" customWidth="1"/>
    <col min="4871" max="4871" width="13.140625" style="62" customWidth="1"/>
    <col min="4872" max="4872" width="12.140625" style="62" customWidth="1"/>
    <col min="4873" max="4873" width="12.85546875" style="62" customWidth="1"/>
    <col min="4874" max="4874" width="14.42578125" style="62" customWidth="1"/>
    <col min="4875" max="4875" width="12.7109375" style="62" customWidth="1"/>
    <col min="4876" max="4876" width="17.5703125" style="62" customWidth="1"/>
    <col min="4877" max="4877" width="12.5703125" style="62" customWidth="1"/>
    <col min="4878" max="4878" width="17" style="62" customWidth="1"/>
    <col min="4879" max="4879" width="13.140625" style="62" customWidth="1"/>
    <col min="4880" max="4884" width="14.7109375" style="62" customWidth="1"/>
    <col min="4885" max="4885" width="12.5703125" style="62" customWidth="1"/>
    <col min="4886" max="4886" width="9.85546875" style="62" customWidth="1"/>
    <col min="4887" max="4887" width="14.7109375" style="62" customWidth="1"/>
    <col min="4888" max="4888" width="19.140625" style="62" customWidth="1"/>
    <col min="4889" max="4889" width="20.28515625" style="62" customWidth="1"/>
    <col min="4890" max="4890" width="13" style="62" customWidth="1"/>
    <col min="4891" max="5120" width="9.140625" style="62"/>
    <col min="5121" max="5121" width="17.85546875" style="62" customWidth="1"/>
    <col min="5122" max="5122" width="16.85546875" style="62" customWidth="1"/>
    <col min="5123" max="5123" width="14.5703125" style="62" customWidth="1"/>
    <col min="5124" max="5125" width="15.85546875" style="62" customWidth="1"/>
    <col min="5126" max="5126" width="17.140625" style="62" customWidth="1"/>
    <col min="5127" max="5127" width="13.140625" style="62" customWidth="1"/>
    <col min="5128" max="5128" width="12.140625" style="62" customWidth="1"/>
    <col min="5129" max="5129" width="12.85546875" style="62" customWidth="1"/>
    <col min="5130" max="5130" width="14.42578125" style="62" customWidth="1"/>
    <col min="5131" max="5131" width="12.7109375" style="62" customWidth="1"/>
    <col min="5132" max="5132" width="17.5703125" style="62" customWidth="1"/>
    <col min="5133" max="5133" width="12.5703125" style="62" customWidth="1"/>
    <col min="5134" max="5134" width="17" style="62" customWidth="1"/>
    <col min="5135" max="5135" width="13.140625" style="62" customWidth="1"/>
    <col min="5136" max="5140" width="14.7109375" style="62" customWidth="1"/>
    <col min="5141" max="5141" width="12.5703125" style="62" customWidth="1"/>
    <col min="5142" max="5142" width="9.85546875" style="62" customWidth="1"/>
    <col min="5143" max="5143" width="14.7109375" style="62" customWidth="1"/>
    <col min="5144" max="5144" width="19.140625" style="62" customWidth="1"/>
    <col min="5145" max="5145" width="20.28515625" style="62" customWidth="1"/>
    <col min="5146" max="5146" width="13" style="62" customWidth="1"/>
    <col min="5147" max="5376" width="9.140625" style="62"/>
    <col min="5377" max="5377" width="17.85546875" style="62" customWidth="1"/>
    <col min="5378" max="5378" width="16.85546875" style="62" customWidth="1"/>
    <col min="5379" max="5379" width="14.5703125" style="62" customWidth="1"/>
    <col min="5380" max="5381" width="15.85546875" style="62" customWidth="1"/>
    <col min="5382" max="5382" width="17.140625" style="62" customWidth="1"/>
    <col min="5383" max="5383" width="13.140625" style="62" customWidth="1"/>
    <col min="5384" max="5384" width="12.140625" style="62" customWidth="1"/>
    <col min="5385" max="5385" width="12.85546875" style="62" customWidth="1"/>
    <col min="5386" max="5386" width="14.42578125" style="62" customWidth="1"/>
    <col min="5387" max="5387" width="12.7109375" style="62" customWidth="1"/>
    <col min="5388" max="5388" width="17.5703125" style="62" customWidth="1"/>
    <col min="5389" max="5389" width="12.5703125" style="62" customWidth="1"/>
    <col min="5390" max="5390" width="17" style="62" customWidth="1"/>
    <col min="5391" max="5391" width="13.140625" style="62" customWidth="1"/>
    <col min="5392" max="5396" width="14.7109375" style="62" customWidth="1"/>
    <col min="5397" max="5397" width="12.5703125" style="62" customWidth="1"/>
    <col min="5398" max="5398" width="9.85546875" style="62" customWidth="1"/>
    <col min="5399" max="5399" width="14.7109375" style="62" customWidth="1"/>
    <col min="5400" max="5400" width="19.140625" style="62" customWidth="1"/>
    <col min="5401" max="5401" width="20.28515625" style="62" customWidth="1"/>
    <col min="5402" max="5402" width="13" style="62" customWidth="1"/>
    <col min="5403" max="5632" width="9.140625" style="62"/>
    <col min="5633" max="5633" width="17.85546875" style="62" customWidth="1"/>
    <col min="5634" max="5634" width="16.85546875" style="62" customWidth="1"/>
    <col min="5635" max="5635" width="14.5703125" style="62" customWidth="1"/>
    <col min="5636" max="5637" width="15.85546875" style="62" customWidth="1"/>
    <col min="5638" max="5638" width="17.140625" style="62" customWidth="1"/>
    <col min="5639" max="5639" width="13.140625" style="62" customWidth="1"/>
    <col min="5640" max="5640" width="12.140625" style="62" customWidth="1"/>
    <col min="5641" max="5641" width="12.85546875" style="62" customWidth="1"/>
    <col min="5642" max="5642" width="14.42578125" style="62" customWidth="1"/>
    <col min="5643" max="5643" width="12.7109375" style="62" customWidth="1"/>
    <col min="5644" max="5644" width="17.5703125" style="62" customWidth="1"/>
    <col min="5645" max="5645" width="12.5703125" style="62" customWidth="1"/>
    <col min="5646" max="5646" width="17" style="62" customWidth="1"/>
    <col min="5647" max="5647" width="13.140625" style="62" customWidth="1"/>
    <col min="5648" max="5652" width="14.7109375" style="62" customWidth="1"/>
    <col min="5653" max="5653" width="12.5703125" style="62" customWidth="1"/>
    <col min="5654" max="5654" width="9.85546875" style="62" customWidth="1"/>
    <col min="5655" max="5655" width="14.7109375" style="62" customWidth="1"/>
    <col min="5656" max="5656" width="19.140625" style="62" customWidth="1"/>
    <col min="5657" max="5657" width="20.28515625" style="62" customWidth="1"/>
    <col min="5658" max="5658" width="13" style="62" customWidth="1"/>
    <col min="5659" max="5888" width="9.140625" style="62"/>
    <col min="5889" max="5889" width="17.85546875" style="62" customWidth="1"/>
    <col min="5890" max="5890" width="16.85546875" style="62" customWidth="1"/>
    <col min="5891" max="5891" width="14.5703125" style="62" customWidth="1"/>
    <col min="5892" max="5893" width="15.85546875" style="62" customWidth="1"/>
    <col min="5894" max="5894" width="17.140625" style="62" customWidth="1"/>
    <col min="5895" max="5895" width="13.140625" style="62" customWidth="1"/>
    <col min="5896" max="5896" width="12.140625" style="62" customWidth="1"/>
    <col min="5897" max="5897" width="12.85546875" style="62" customWidth="1"/>
    <col min="5898" max="5898" width="14.42578125" style="62" customWidth="1"/>
    <col min="5899" max="5899" width="12.7109375" style="62" customWidth="1"/>
    <col min="5900" max="5900" width="17.5703125" style="62" customWidth="1"/>
    <col min="5901" max="5901" width="12.5703125" style="62" customWidth="1"/>
    <col min="5902" max="5902" width="17" style="62" customWidth="1"/>
    <col min="5903" max="5903" width="13.140625" style="62" customWidth="1"/>
    <col min="5904" max="5908" width="14.7109375" style="62" customWidth="1"/>
    <col min="5909" max="5909" width="12.5703125" style="62" customWidth="1"/>
    <col min="5910" max="5910" width="9.85546875" style="62" customWidth="1"/>
    <col min="5911" max="5911" width="14.7109375" style="62" customWidth="1"/>
    <col min="5912" max="5912" width="19.140625" style="62" customWidth="1"/>
    <col min="5913" max="5913" width="20.28515625" style="62" customWidth="1"/>
    <col min="5914" max="5914" width="13" style="62" customWidth="1"/>
    <col min="5915" max="6144" width="9.140625" style="62"/>
    <col min="6145" max="6145" width="17.85546875" style="62" customWidth="1"/>
    <col min="6146" max="6146" width="16.85546875" style="62" customWidth="1"/>
    <col min="6147" max="6147" width="14.5703125" style="62" customWidth="1"/>
    <col min="6148" max="6149" width="15.85546875" style="62" customWidth="1"/>
    <col min="6150" max="6150" width="17.140625" style="62" customWidth="1"/>
    <col min="6151" max="6151" width="13.140625" style="62" customWidth="1"/>
    <col min="6152" max="6152" width="12.140625" style="62" customWidth="1"/>
    <col min="6153" max="6153" width="12.85546875" style="62" customWidth="1"/>
    <col min="6154" max="6154" width="14.42578125" style="62" customWidth="1"/>
    <col min="6155" max="6155" width="12.7109375" style="62" customWidth="1"/>
    <col min="6156" max="6156" width="17.5703125" style="62" customWidth="1"/>
    <col min="6157" max="6157" width="12.5703125" style="62" customWidth="1"/>
    <col min="6158" max="6158" width="17" style="62" customWidth="1"/>
    <col min="6159" max="6159" width="13.140625" style="62" customWidth="1"/>
    <col min="6160" max="6164" width="14.7109375" style="62" customWidth="1"/>
    <col min="6165" max="6165" width="12.5703125" style="62" customWidth="1"/>
    <col min="6166" max="6166" width="9.85546875" style="62" customWidth="1"/>
    <col min="6167" max="6167" width="14.7109375" style="62" customWidth="1"/>
    <col min="6168" max="6168" width="19.140625" style="62" customWidth="1"/>
    <col min="6169" max="6169" width="20.28515625" style="62" customWidth="1"/>
    <col min="6170" max="6170" width="13" style="62" customWidth="1"/>
    <col min="6171" max="6400" width="9.140625" style="62"/>
    <col min="6401" max="6401" width="17.85546875" style="62" customWidth="1"/>
    <col min="6402" max="6402" width="16.85546875" style="62" customWidth="1"/>
    <col min="6403" max="6403" width="14.5703125" style="62" customWidth="1"/>
    <col min="6404" max="6405" width="15.85546875" style="62" customWidth="1"/>
    <col min="6406" max="6406" width="17.140625" style="62" customWidth="1"/>
    <col min="6407" max="6407" width="13.140625" style="62" customWidth="1"/>
    <col min="6408" max="6408" width="12.140625" style="62" customWidth="1"/>
    <col min="6409" max="6409" width="12.85546875" style="62" customWidth="1"/>
    <col min="6410" max="6410" width="14.42578125" style="62" customWidth="1"/>
    <col min="6411" max="6411" width="12.7109375" style="62" customWidth="1"/>
    <col min="6412" max="6412" width="17.5703125" style="62" customWidth="1"/>
    <col min="6413" max="6413" width="12.5703125" style="62" customWidth="1"/>
    <col min="6414" max="6414" width="17" style="62" customWidth="1"/>
    <col min="6415" max="6415" width="13.140625" style="62" customWidth="1"/>
    <col min="6416" max="6420" width="14.7109375" style="62" customWidth="1"/>
    <col min="6421" max="6421" width="12.5703125" style="62" customWidth="1"/>
    <col min="6422" max="6422" width="9.85546875" style="62" customWidth="1"/>
    <col min="6423" max="6423" width="14.7109375" style="62" customWidth="1"/>
    <col min="6424" max="6424" width="19.140625" style="62" customWidth="1"/>
    <col min="6425" max="6425" width="20.28515625" style="62" customWidth="1"/>
    <col min="6426" max="6426" width="13" style="62" customWidth="1"/>
    <col min="6427" max="6656" width="9.140625" style="62"/>
    <col min="6657" max="6657" width="17.85546875" style="62" customWidth="1"/>
    <col min="6658" max="6658" width="16.85546875" style="62" customWidth="1"/>
    <col min="6659" max="6659" width="14.5703125" style="62" customWidth="1"/>
    <col min="6660" max="6661" width="15.85546875" style="62" customWidth="1"/>
    <col min="6662" max="6662" width="17.140625" style="62" customWidth="1"/>
    <col min="6663" max="6663" width="13.140625" style="62" customWidth="1"/>
    <col min="6664" max="6664" width="12.140625" style="62" customWidth="1"/>
    <col min="6665" max="6665" width="12.85546875" style="62" customWidth="1"/>
    <col min="6666" max="6666" width="14.42578125" style="62" customWidth="1"/>
    <col min="6667" max="6667" width="12.7109375" style="62" customWidth="1"/>
    <col min="6668" max="6668" width="17.5703125" style="62" customWidth="1"/>
    <col min="6669" max="6669" width="12.5703125" style="62" customWidth="1"/>
    <col min="6670" max="6670" width="17" style="62" customWidth="1"/>
    <col min="6671" max="6671" width="13.140625" style="62" customWidth="1"/>
    <col min="6672" max="6676" width="14.7109375" style="62" customWidth="1"/>
    <col min="6677" max="6677" width="12.5703125" style="62" customWidth="1"/>
    <col min="6678" max="6678" width="9.85546875" style="62" customWidth="1"/>
    <col min="6679" max="6679" width="14.7109375" style="62" customWidth="1"/>
    <col min="6680" max="6680" width="19.140625" style="62" customWidth="1"/>
    <col min="6681" max="6681" width="20.28515625" style="62" customWidth="1"/>
    <col min="6682" max="6682" width="13" style="62" customWidth="1"/>
    <col min="6683" max="6912" width="9.140625" style="62"/>
    <col min="6913" max="6913" width="17.85546875" style="62" customWidth="1"/>
    <col min="6914" max="6914" width="16.85546875" style="62" customWidth="1"/>
    <col min="6915" max="6915" width="14.5703125" style="62" customWidth="1"/>
    <col min="6916" max="6917" width="15.85546875" style="62" customWidth="1"/>
    <col min="6918" max="6918" width="17.140625" style="62" customWidth="1"/>
    <col min="6919" max="6919" width="13.140625" style="62" customWidth="1"/>
    <col min="6920" max="6920" width="12.140625" style="62" customWidth="1"/>
    <col min="6921" max="6921" width="12.85546875" style="62" customWidth="1"/>
    <col min="6922" max="6922" width="14.42578125" style="62" customWidth="1"/>
    <col min="6923" max="6923" width="12.7109375" style="62" customWidth="1"/>
    <col min="6924" max="6924" width="17.5703125" style="62" customWidth="1"/>
    <col min="6925" max="6925" width="12.5703125" style="62" customWidth="1"/>
    <col min="6926" max="6926" width="17" style="62" customWidth="1"/>
    <col min="6927" max="6927" width="13.140625" style="62" customWidth="1"/>
    <col min="6928" max="6932" width="14.7109375" style="62" customWidth="1"/>
    <col min="6933" max="6933" width="12.5703125" style="62" customWidth="1"/>
    <col min="6934" max="6934" width="9.85546875" style="62" customWidth="1"/>
    <col min="6935" max="6935" width="14.7109375" style="62" customWidth="1"/>
    <col min="6936" max="6936" width="19.140625" style="62" customWidth="1"/>
    <col min="6937" max="6937" width="20.28515625" style="62" customWidth="1"/>
    <col min="6938" max="6938" width="13" style="62" customWidth="1"/>
    <col min="6939" max="7168" width="9.140625" style="62"/>
    <col min="7169" max="7169" width="17.85546875" style="62" customWidth="1"/>
    <col min="7170" max="7170" width="16.85546875" style="62" customWidth="1"/>
    <col min="7171" max="7171" width="14.5703125" style="62" customWidth="1"/>
    <col min="7172" max="7173" width="15.85546875" style="62" customWidth="1"/>
    <col min="7174" max="7174" width="17.140625" style="62" customWidth="1"/>
    <col min="7175" max="7175" width="13.140625" style="62" customWidth="1"/>
    <col min="7176" max="7176" width="12.140625" style="62" customWidth="1"/>
    <col min="7177" max="7177" width="12.85546875" style="62" customWidth="1"/>
    <col min="7178" max="7178" width="14.42578125" style="62" customWidth="1"/>
    <col min="7179" max="7179" width="12.7109375" style="62" customWidth="1"/>
    <col min="7180" max="7180" width="17.5703125" style="62" customWidth="1"/>
    <col min="7181" max="7181" width="12.5703125" style="62" customWidth="1"/>
    <col min="7182" max="7182" width="17" style="62" customWidth="1"/>
    <col min="7183" max="7183" width="13.140625" style="62" customWidth="1"/>
    <col min="7184" max="7188" width="14.7109375" style="62" customWidth="1"/>
    <col min="7189" max="7189" width="12.5703125" style="62" customWidth="1"/>
    <col min="7190" max="7190" width="9.85546875" style="62" customWidth="1"/>
    <col min="7191" max="7191" width="14.7109375" style="62" customWidth="1"/>
    <col min="7192" max="7192" width="19.140625" style="62" customWidth="1"/>
    <col min="7193" max="7193" width="20.28515625" style="62" customWidth="1"/>
    <col min="7194" max="7194" width="13" style="62" customWidth="1"/>
    <col min="7195" max="7424" width="9.140625" style="62"/>
    <col min="7425" max="7425" width="17.85546875" style="62" customWidth="1"/>
    <col min="7426" max="7426" width="16.85546875" style="62" customWidth="1"/>
    <col min="7427" max="7427" width="14.5703125" style="62" customWidth="1"/>
    <col min="7428" max="7429" width="15.85546875" style="62" customWidth="1"/>
    <col min="7430" max="7430" width="17.140625" style="62" customWidth="1"/>
    <col min="7431" max="7431" width="13.140625" style="62" customWidth="1"/>
    <col min="7432" max="7432" width="12.140625" style="62" customWidth="1"/>
    <col min="7433" max="7433" width="12.85546875" style="62" customWidth="1"/>
    <col min="7434" max="7434" width="14.42578125" style="62" customWidth="1"/>
    <col min="7435" max="7435" width="12.7109375" style="62" customWidth="1"/>
    <col min="7436" max="7436" width="17.5703125" style="62" customWidth="1"/>
    <col min="7437" max="7437" width="12.5703125" style="62" customWidth="1"/>
    <col min="7438" max="7438" width="17" style="62" customWidth="1"/>
    <col min="7439" max="7439" width="13.140625" style="62" customWidth="1"/>
    <col min="7440" max="7444" width="14.7109375" style="62" customWidth="1"/>
    <col min="7445" max="7445" width="12.5703125" style="62" customWidth="1"/>
    <col min="7446" max="7446" width="9.85546875" style="62" customWidth="1"/>
    <col min="7447" max="7447" width="14.7109375" style="62" customWidth="1"/>
    <col min="7448" max="7448" width="19.140625" style="62" customWidth="1"/>
    <col min="7449" max="7449" width="20.28515625" style="62" customWidth="1"/>
    <col min="7450" max="7450" width="13" style="62" customWidth="1"/>
    <col min="7451" max="7680" width="9.140625" style="62"/>
    <col min="7681" max="7681" width="17.85546875" style="62" customWidth="1"/>
    <col min="7682" max="7682" width="16.85546875" style="62" customWidth="1"/>
    <col min="7683" max="7683" width="14.5703125" style="62" customWidth="1"/>
    <col min="7684" max="7685" width="15.85546875" style="62" customWidth="1"/>
    <col min="7686" max="7686" width="17.140625" style="62" customWidth="1"/>
    <col min="7687" max="7687" width="13.140625" style="62" customWidth="1"/>
    <col min="7688" max="7688" width="12.140625" style="62" customWidth="1"/>
    <col min="7689" max="7689" width="12.85546875" style="62" customWidth="1"/>
    <col min="7690" max="7690" width="14.42578125" style="62" customWidth="1"/>
    <col min="7691" max="7691" width="12.7109375" style="62" customWidth="1"/>
    <col min="7692" max="7692" width="17.5703125" style="62" customWidth="1"/>
    <col min="7693" max="7693" width="12.5703125" style="62" customWidth="1"/>
    <col min="7694" max="7694" width="17" style="62" customWidth="1"/>
    <col min="7695" max="7695" width="13.140625" style="62" customWidth="1"/>
    <col min="7696" max="7700" width="14.7109375" style="62" customWidth="1"/>
    <col min="7701" max="7701" width="12.5703125" style="62" customWidth="1"/>
    <col min="7702" max="7702" width="9.85546875" style="62" customWidth="1"/>
    <col min="7703" max="7703" width="14.7109375" style="62" customWidth="1"/>
    <col min="7704" max="7704" width="19.140625" style="62" customWidth="1"/>
    <col min="7705" max="7705" width="20.28515625" style="62" customWidth="1"/>
    <col min="7706" max="7706" width="13" style="62" customWidth="1"/>
    <col min="7707" max="7936" width="9.140625" style="62"/>
    <col min="7937" max="7937" width="17.85546875" style="62" customWidth="1"/>
    <col min="7938" max="7938" width="16.85546875" style="62" customWidth="1"/>
    <col min="7939" max="7939" width="14.5703125" style="62" customWidth="1"/>
    <col min="7940" max="7941" width="15.85546875" style="62" customWidth="1"/>
    <col min="7942" max="7942" width="17.140625" style="62" customWidth="1"/>
    <col min="7943" max="7943" width="13.140625" style="62" customWidth="1"/>
    <col min="7944" max="7944" width="12.140625" style="62" customWidth="1"/>
    <col min="7945" max="7945" width="12.85546875" style="62" customWidth="1"/>
    <col min="7946" max="7946" width="14.42578125" style="62" customWidth="1"/>
    <col min="7947" max="7947" width="12.7109375" style="62" customWidth="1"/>
    <col min="7948" max="7948" width="17.5703125" style="62" customWidth="1"/>
    <col min="7949" max="7949" width="12.5703125" style="62" customWidth="1"/>
    <col min="7950" max="7950" width="17" style="62" customWidth="1"/>
    <col min="7951" max="7951" width="13.140625" style="62" customWidth="1"/>
    <col min="7952" max="7956" width="14.7109375" style="62" customWidth="1"/>
    <col min="7957" max="7957" width="12.5703125" style="62" customWidth="1"/>
    <col min="7958" max="7958" width="9.85546875" style="62" customWidth="1"/>
    <col min="7959" max="7959" width="14.7109375" style="62" customWidth="1"/>
    <col min="7960" max="7960" width="19.140625" style="62" customWidth="1"/>
    <col min="7961" max="7961" width="20.28515625" style="62" customWidth="1"/>
    <col min="7962" max="7962" width="13" style="62" customWidth="1"/>
    <col min="7963" max="8192" width="9.140625" style="62"/>
    <col min="8193" max="8193" width="17.85546875" style="62" customWidth="1"/>
    <col min="8194" max="8194" width="16.85546875" style="62" customWidth="1"/>
    <col min="8195" max="8195" width="14.5703125" style="62" customWidth="1"/>
    <col min="8196" max="8197" width="15.85546875" style="62" customWidth="1"/>
    <col min="8198" max="8198" width="17.140625" style="62" customWidth="1"/>
    <col min="8199" max="8199" width="13.140625" style="62" customWidth="1"/>
    <col min="8200" max="8200" width="12.140625" style="62" customWidth="1"/>
    <col min="8201" max="8201" width="12.85546875" style="62" customWidth="1"/>
    <col min="8202" max="8202" width="14.42578125" style="62" customWidth="1"/>
    <col min="8203" max="8203" width="12.7109375" style="62" customWidth="1"/>
    <col min="8204" max="8204" width="17.5703125" style="62" customWidth="1"/>
    <col min="8205" max="8205" width="12.5703125" style="62" customWidth="1"/>
    <col min="8206" max="8206" width="17" style="62" customWidth="1"/>
    <col min="8207" max="8207" width="13.140625" style="62" customWidth="1"/>
    <col min="8208" max="8212" width="14.7109375" style="62" customWidth="1"/>
    <col min="8213" max="8213" width="12.5703125" style="62" customWidth="1"/>
    <col min="8214" max="8214" width="9.85546875" style="62" customWidth="1"/>
    <col min="8215" max="8215" width="14.7109375" style="62" customWidth="1"/>
    <col min="8216" max="8216" width="19.140625" style="62" customWidth="1"/>
    <col min="8217" max="8217" width="20.28515625" style="62" customWidth="1"/>
    <col min="8218" max="8218" width="13" style="62" customWidth="1"/>
    <col min="8219" max="8448" width="9.140625" style="62"/>
    <col min="8449" max="8449" width="17.85546875" style="62" customWidth="1"/>
    <col min="8450" max="8450" width="16.85546875" style="62" customWidth="1"/>
    <col min="8451" max="8451" width="14.5703125" style="62" customWidth="1"/>
    <col min="8452" max="8453" width="15.85546875" style="62" customWidth="1"/>
    <col min="8454" max="8454" width="17.140625" style="62" customWidth="1"/>
    <col min="8455" max="8455" width="13.140625" style="62" customWidth="1"/>
    <col min="8456" max="8456" width="12.140625" style="62" customWidth="1"/>
    <col min="8457" max="8457" width="12.85546875" style="62" customWidth="1"/>
    <col min="8458" max="8458" width="14.42578125" style="62" customWidth="1"/>
    <col min="8459" max="8459" width="12.7109375" style="62" customWidth="1"/>
    <col min="8460" max="8460" width="17.5703125" style="62" customWidth="1"/>
    <col min="8461" max="8461" width="12.5703125" style="62" customWidth="1"/>
    <col min="8462" max="8462" width="17" style="62" customWidth="1"/>
    <col min="8463" max="8463" width="13.140625" style="62" customWidth="1"/>
    <col min="8464" max="8468" width="14.7109375" style="62" customWidth="1"/>
    <col min="8469" max="8469" width="12.5703125" style="62" customWidth="1"/>
    <col min="8470" max="8470" width="9.85546875" style="62" customWidth="1"/>
    <col min="8471" max="8471" width="14.7109375" style="62" customWidth="1"/>
    <col min="8472" max="8472" width="19.140625" style="62" customWidth="1"/>
    <col min="8473" max="8473" width="20.28515625" style="62" customWidth="1"/>
    <col min="8474" max="8474" width="13" style="62" customWidth="1"/>
    <col min="8475" max="8704" width="9.140625" style="62"/>
    <col min="8705" max="8705" width="17.85546875" style="62" customWidth="1"/>
    <col min="8706" max="8706" width="16.85546875" style="62" customWidth="1"/>
    <col min="8707" max="8707" width="14.5703125" style="62" customWidth="1"/>
    <col min="8708" max="8709" width="15.85546875" style="62" customWidth="1"/>
    <col min="8710" max="8710" width="17.140625" style="62" customWidth="1"/>
    <col min="8711" max="8711" width="13.140625" style="62" customWidth="1"/>
    <col min="8712" max="8712" width="12.140625" style="62" customWidth="1"/>
    <col min="8713" max="8713" width="12.85546875" style="62" customWidth="1"/>
    <col min="8714" max="8714" width="14.42578125" style="62" customWidth="1"/>
    <col min="8715" max="8715" width="12.7109375" style="62" customWidth="1"/>
    <col min="8716" max="8716" width="17.5703125" style="62" customWidth="1"/>
    <col min="8717" max="8717" width="12.5703125" style="62" customWidth="1"/>
    <col min="8718" max="8718" width="17" style="62" customWidth="1"/>
    <col min="8719" max="8719" width="13.140625" style="62" customWidth="1"/>
    <col min="8720" max="8724" width="14.7109375" style="62" customWidth="1"/>
    <col min="8725" max="8725" width="12.5703125" style="62" customWidth="1"/>
    <col min="8726" max="8726" width="9.85546875" style="62" customWidth="1"/>
    <col min="8727" max="8727" width="14.7109375" style="62" customWidth="1"/>
    <col min="8728" max="8728" width="19.140625" style="62" customWidth="1"/>
    <col min="8729" max="8729" width="20.28515625" style="62" customWidth="1"/>
    <col min="8730" max="8730" width="13" style="62" customWidth="1"/>
    <col min="8731" max="8960" width="9.140625" style="62"/>
    <col min="8961" max="8961" width="17.85546875" style="62" customWidth="1"/>
    <col min="8962" max="8962" width="16.85546875" style="62" customWidth="1"/>
    <col min="8963" max="8963" width="14.5703125" style="62" customWidth="1"/>
    <col min="8964" max="8965" width="15.85546875" style="62" customWidth="1"/>
    <col min="8966" max="8966" width="17.140625" style="62" customWidth="1"/>
    <col min="8967" max="8967" width="13.140625" style="62" customWidth="1"/>
    <col min="8968" max="8968" width="12.140625" style="62" customWidth="1"/>
    <col min="8969" max="8969" width="12.85546875" style="62" customWidth="1"/>
    <col min="8970" max="8970" width="14.42578125" style="62" customWidth="1"/>
    <col min="8971" max="8971" width="12.7109375" style="62" customWidth="1"/>
    <col min="8972" max="8972" width="17.5703125" style="62" customWidth="1"/>
    <col min="8973" max="8973" width="12.5703125" style="62" customWidth="1"/>
    <col min="8974" max="8974" width="17" style="62" customWidth="1"/>
    <col min="8975" max="8975" width="13.140625" style="62" customWidth="1"/>
    <col min="8976" max="8980" width="14.7109375" style="62" customWidth="1"/>
    <col min="8981" max="8981" width="12.5703125" style="62" customWidth="1"/>
    <col min="8982" max="8982" width="9.85546875" style="62" customWidth="1"/>
    <col min="8983" max="8983" width="14.7109375" style="62" customWidth="1"/>
    <col min="8984" max="8984" width="19.140625" style="62" customWidth="1"/>
    <col min="8985" max="8985" width="20.28515625" style="62" customWidth="1"/>
    <col min="8986" max="8986" width="13" style="62" customWidth="1"/>
    <col min="8987" max="9216" width="9.140625" style="62"/>
    <col min="9217" max="9217" width="17.85546875" style="62" customWidth="1"/>
    <col min="9218" max="9218" width="16.85546875" style="62" customWidth="1"/>
    <col min="9219" max="9219" width="14.5703125" style="62" customWidth="1"/>
    <col min="9220" max="9221" width="15.85546875" style="62" customWidth="1"/>
    <col min="9222" max="9222" width="17.140625" style="62" customWidth="1"/>
    <col min="9223" max="9223" width="13.140625" style="62" customWidth="1"/>
    <col min="9224" max="9224" width="12.140625" style="62" customWidth="1"/>
    <col min="9225" max="9225" width="12.85546875" style="62" customWidth="1"/>
    <col min="9226" max="9226" width="14.42578125" style="62" customWidth="1"/>
    <col min="9227" max="9227" width="12.7109375" style="62" customWidth="1"/>
    <col min="9228" max="9228" width="17.5703125" style="62" customWidth="1"/>
    <col min="9229" max="9229" width="12.5703125" style="62" customWidth="1"/>
    <col min="9230" max="9230" width="17" style="62" customWidth="1"/>
    <col min="9231" max="9231" width="13.140625" style="62" customWidth="1"/>
    <col min="9232" max="9236" width="14.7109375" style="62" customWidth="1"/>
    <col min="9237" max="9237" width="12.5703125" style="62" customWidth="1"/>
    <col min="9238" max="9238" width="9.85546875" style="62" customWidth="1"/>
    <col min="9239" max="9239" width="14.7109375" style="62" customWidth="1"/>
    <col min="9240" max="9240" width="19.140625" style="62" customWidth="1"/>
    <col min="9241" max="9241" width="20.28515625" style="62" customWidth="1"/>
    <col min="9242" max="9242" width="13" style="62" customWidth="1"/>
    <col min="9243" max="9472" width="9.140625" style="62"/>
    <col min="9473" max="9473" width="17.85546875" style="62" customWidth="1"/>
    <col min="9474" max="9474" width="16.85546875" style="62" customWidth="1"/>
    <col min="9475" max="9475" width="14.5703125" style="62" customWidth="1"/>
    <col min="9476" max="9477" width="15.85546875" style="62" customWidth="1"/>
    <col min="9478" max="9478" width="17.140625" style="62" customWidth="1"/>
    <col min="9479" max="9479" width="13.140625" style="62" customWidth="1"/>
    <col min="9480" max="9480" width="12.140625" style="62" customWidth="1"/>
    <col min="9481" max="9481" width="12.85546875" style="62" customWidth="1"/>
    <col min="9482" max="9482" width="14.42578125" style="62" customWidth="1"/>
    <col min="9483" max="9483" width="12.7109375" style="62" customWidth="1"/>
    <col min="9484" max="9484" width="17.5703125" style="62" customWidth="1"/>
    <col min="9485" max="9485" width="12.5703125" style="62" customWidth="1"/>
    <col min="9486" max="9486" width="17" style="62" customWidth="1"/>
    <col min="9487" max="9487" width="13.140625" style="62" customWidth="1"/>
    <col min="9488" max="9492" width="14.7109375" style="62" customWidth="1"/>
    <col min="9493" max="9493" width="12.5703125" style="62" customWidth="1"/>
    <col min="9494" max="9494" width="9.85546875" style="62" customWidth="1"/>
    <col min="9495" max="9495" width="14.7109375" style="62" customWidth="1"/>
    <col min="9496" max="9496" width="19.140625" style="62" customWidth="1"/>
    <col min="9497" max="9497" width="20.28515625" style="62" customWidth="1"/>
    <col min="9498" max="9498" width="13" style="62" customWidth="1"/>
    <col min="9499" max="9728" width="9.140625" style="62"/>
    <col min="9729" max="9729" width="17.85546875" style="62" customWidth="1"/>
    <col min="9730" max="9730" width="16.85546875" style="62" customWidth="1"/>
    <col min="9731" max="9731" width="14.5703125" style="62" customWidth="1"/>
    <col min="9732" max="9733" width="15.85546875" style="62" customWidth="1"/>
    <col min="9734" max="9734" width="17.140625" style="62" customWidth="1"/>
    <col min="9735" max="9735" width="13.140625" style="62" customWidth="1"/>
    <col min="9736" max="9736" width="12.140625" style="62" customWidth="1"/>
    <col min="9737" max="9737" width="12.85546875" style="62" customWidth="1"/>
    <col min="9738" max="9738" width="14.42578125" style="62" customWidth="1"/>
    <col min="9739" max="9739" width="12.7109375" style="62" customWidth="1"/>
    <col min="9740" max="9740" width="17.5703125" style="62" customWidth="1"/>
    <col min="9741" max="9741" width="12.5703125" style="62" customWidth="1"/>
    <col min="9742" max="9742" width="17" style="62" customWidth="1"/>
    <col min="9743" max="9743" width="13.140625" style="62" customWidth="1"/>
    <col min="9744" max="9748" width="14.7109375" style="62" customWidth="1"/>
    <col min="9749" max="9749" width="12.5703125" style="62" customWidth="1"/>
    <col min="9750" max="9750" width="9.85546875" style="62" customWidth="1"/>
    <col min="9751" max="9751" width="14.7109375" style="62" customWidth="1"/>
    <col min="9752" max="9752" width="19.140625" style="62" customWidth="1"/>
    <col min="9753" max="9753" width="20.28515625" style="62" customWidth="1"/>
    <col min="9754" max="9754" width="13" style="62" customWidth="1"/>
    <col min="9755" max="9984" width="9.140625" style="62"/>
    <col min="9985" max="9985" width="17.85546875" style="62" customWidth="1"/>
    <col min="9986" max="9986" width="16.85546875" style="62" customWidth="1"/>
    <col min="9987" max="9987" width="14.5703125" style="62" customWidth="1"/>
    <col min="9988" max="9989" width="15.85546875" style="62" customWidth="1"/>
    <col min="9990" max="9990" width="17.140625" style="62" customWidth="1"/>
    <col min="9991" max="9991" width="13.140625" style="62" customWidth="1"/>
    <col min="9992" max="9992" width="12.140625" style="62" customWidth="1"/>
    <col min="9993" max="9993" width="12.85546875" style="62" customWidth="1"/>
    <col min="9994" max="9994" width="14.42578125" style="62" customWidth="1"/>
    <col min="9995" max="9995" width="12.7109375" style="62" customWidth="1"/>
    <col min="9996" max="9996" width="17.5703125" style="62" customWidth="1"/>
    <col min="9997" max="9997" width="12.5703125" style="62" customWidth="1"/>
    <col min="9998" max="9998" width="17" style="62" customWidth="1"/>
    <col min="9999" max="9999" width="13.140625" style="62" customWidth="1"/>
    <col min="10000" max="10004" width="14.7109375" style="62" customWidth="1"/>
    <col min="10005" max="10005" width="12.5703125" style="62" customWidth="1"/>
    <col min="10006" max="10006" width="9.85546875" style="62" customWidth="1"/>
    <col min="10007" max="10007" width="14.7109375" style="62" customWidth="1"/>
    <col min="10008" max="10008" width="19.140625" style="62" customWidth="1"/>
    <col min="10009" max="10009" width="20.28515625" style="62" customWidth="1"/>
    <col min="10010" max="10010" width="13" style="62" customWidth="1"/>
    <col min="10011" max="10240" width="9.140625" style="62"/>
    <col min="10241" max="10241" width="17.85546875" style="62" customWidth="1"/>
    <col min="10242" max="10242" width="16.85546875" style="62" customWidth="1"/>
    <col min="10243" max="10243" width="14.5703125" style="62" customWidth="1"/>
    <col min="10244" max="10245" width="15.85546875" style="62" customWidth="1"/>
    <col min="10246" max="10246" width="17.140625" style="62" customWidth="1"/>
    <col min="10247" max="10247" width="13.140625" style="62" customWidth="1"/>
    <col min="10248" max="10248" width="12.140625" style="62" customWidth="1"/>
    <col min="10249" max="10249" width="12.85546875" style="62" customWidth="1"/>
    <col min="10250" max="10250" width="14.42578125" style="62" customWidth="1"/>
    <col min="10251" max="10251" width="12.7109375" style="62" customWidth="1"/>
    <col min="10252" max="10252" width="17.5703125" style="62" customWidth="1"/>
    <col min="10253" max="10253" width="12.5703125" style="62" customWidth="1"/>
    <col min="10254" max="10254" width="17" style="62" customWidth="1"/>
    <col min="10255" max="10255" width="13.140625" style="62" customWidth="1"/>
    <col min="10256" max="10260" width="14.7109375" style="62" customWidth="1"/>
    <col min="10261" max="10261" width="12.5703125" style="62" customWidth="1"/>
    <col min="10262" max="10262" width="9.85546875" style="62" customWidth="1"/>
    <col min="10263" max="10263" width="14.7109375" style="62" customWidth="1"/>
    <col min="10264" max="10264" width="19.140625" style="62" customWidth="1"/>
    <col min="10265" max="10265" width="20.28515625" style="62" customWidth="1"/>
    <col min="10266" max="10266" width="13" style="62" customWidth="1"/>
    <col min="10267" max="10496" width="9.140625" style="62"/>
    <col min="10497" max="10497" width="17.85546875" style="62" customWidth="1"/>
    <col min="10498" max="10498" width="16.85546875" style="62" customWidth="1"/>
    <col min="10499" max="10499" width="14.5703125" style="62" customWidth="1"/>
    <col min="10500" max="10501" width="15.85546875" style="62" customWidth="1"/>
    <col min="10502" max="10502" width="17.140625" style="62" customWidth="1"/>
    <col min="10503" max="10503" width="13.140625" style="62" customWidth="1"/>
    <col min="10504" max="10504" width="12.140625" style="62" customWidth="1"/>
    <col min="10505" max="10505" width="12.85546875" style="62" customWidth="1"/>
    <col min="10506" max="10506" width="14.42578125" style="62" customWidth="1"/>
    <col min="10507" max="10507" width="12.7109375" style="62" customWidth="1"/>
    <col min="10508" max="10508" width="17.5703125" style="62" customWidth="1"/>
    <col min="10509" max="10509" width="12.5703125" style="62" customWidth="1"/>
    <col min="10510" max="10510" width="17" style="62" customWidth="1"/>
    <col min="10511" max="10511" width="13.140625" style="62" customWidth="1"/>
    <col min="10512" max="10516" width="14.7109375" style="62" customWidth="1"/>
    <col min="10517" max="10517" width="12.5703125" style="62" customWidth="1"/>
    <col min="10518" max="10518" width="9.85546875" style="62" customWidth="1"/>
    <col min="10519" max="10519" width="14.7109375" style="62" customWidth="1"/>
    <col min="10520" max="10520" width="19.140625" style="62" customWidth="1"/>
    <col min="10521" max="10521" width="20.28515625" style="62" customWidth="1"/>
    <col min="10522" max="10522" width="13" style="62" customWidth="1"/>
    <col min="10523" max="10752" width="9.140625" style="62"/>
    <col min="10753" max="10753" width="17.85546875" style="62" customWidth="1"/>
    <col min="10754" max="10754" width="16.85546875" style="62" customWidth="1"/>
    <col min="10755" max="10755" width="14.5703125" style="62" customWidth="1"/>
    <col min="10756" max="10757" width="15.85546875" style="62" customWidth="1"/>
    <col min="10758" max="10758" width="17.140625" style="62" customWidth="1"/>
    <col min="10759" max="10759" width="13.140625" style="62" customWidth="1"/>
    <col min="10760" max="10760" width="12.140625" style="62" customWidth="1"/>
    <col min="10761" max="10761" width="12.85546875" style="62" customWidth="1"/>
    <col min="10762" max="10762" width="14.42578125" style="62" customWidth="1"/>
    <col min="10763" max="10763" width="12.7109375" style="62" customWidth="1"/>
    <col min="10764" max="10764" width="17.5703125" style="62" customWidth="1"/>
    <col min="10765" max="10765" width="12.5703125" style="62" customWidth="1"/>
    <col min="10766" max="10766" width="17" style="62" customWidth="1"/>
    <col min="10767" max="10767" width="13.140625" style="62" customWidth="1"/>
    <col min="10768" max="10772" width="14.7109375" style="62" customWidth="1"/>
    <col min="10773" max="10773" width="12.5703125" style="62" customWidth="1"/>
    <col min="10774" max="10774" width="9.85546875" style="62" customWidth="1"/>
    <col min="10775" max="10775" width="14.7109375" style="62" customWidth="1"/>
    <col min="10776" max="10776" width="19.140625" style="62" customWidth="1"/>
    <col min="10777" max="10777" width="20.28515625" style="62" customWidth="1"/>
    <col min="10778" max="10778" width="13" style="62" customWidth="1"/>
    <col min="10779" max="11008" width="9.140625" style="62"/>
    <col min="11009" max="11009" width="17.85546875" style="62" customWidth="1"/>
    <col min="11010" max="11010" width="16.85546875" style="62" customWidth="1"/>
    <col min="11011" max="11011" width="14.5703125" style="62" customWidth="1"/>
    <col min="11012" max="11013" width="15.85546875" style="62" customWidth="1"/>
    <col min="11014" max="11014" width="17.140625" style="62" customWidth="1"/>
    <col min="11015" max="11015" width="13.140625" style="62" customWidth="1"/>
    <col min="11016" max="11016" width="12.140625" style="62" customWidth="1"/>
    <col min="11017" max="11017" width="12.85546875" style="62" customWidth="1"/>
    <col min="11018" max="11018" width="14.42578125" style="62" customWidth="1"/>
    <col min="11019" max="11019" width="12.7109375" style="62" customWidth="1"/>
    <col min="11020" max="11020" width="17.5703125" style="62" customWidth="1"/>
    <col min="11021" max="11021" width="12.5703125" style="62" customWidth="1"/>
    <col min="11022" max="11022" width="17" style="62" customWidth="1"/>
    <col min="11023" max="11023" width="13.140625" style="62" customWidth="1"/>
    <col min="11024" max="11028" width="14.7109375" style="62" customWidth="1"/>
    <col min="11029" max="11029" width="12.5703125" style="62" customWidth="1"/>
    <col min="11030" max="11030" width="9.85546875" style="62" customWidth="1"/>
    <col min="11031" max="11031" width="14.7109375" style="62" customWidth="1"/>
    <col min="11032" max="11032" width="19.140625" style="62" customWidth="1"/>
    <col min="11033" max="11033" width="20.28515625" style="62" customWidth="1"/>
    <col min="11034" max="11034" width="13" style="62" customWidth="1"/>
    <col min="11035" max="11264" width="9.140625" style="62"/>
    <col min="11265" max="11265" width="17.85546875" style="62" customWidth="1"/>
    <col min="11266" max="11266" width="16.85546875" style="62" customWidth="1"/>
    <col min="11267" max="11267" width="14.5703125" style="62" customWidth="1"/>
    <col min="11268" max="11269" width="15.85546875" style="62" customWidth="1"/>
    <col min="11270" max="11270" width="17.140625" style="62" customWidth="1"/>
    <col min="11271" max="11271" width="13.140625" style="62" customWidth="1"/>
    <col min="11272" max="11272" width="12.140625" style="62" customWidth="1"/>
    <col min="11273" max="11273" width="12.85546875" style="62" customWidth="1"/>
    <col min="11274" max="11274" width="14.42578125" style="62" customWidth="1"/>
    <col min="11275" max="11275" width="12.7109375" style="62" customWidth="1"/>
    <col min="11276" max="11276" width="17.5703125" style="62" customWidth="1"/>
    <col min="11277" max="11277" width="12.5703125" style="62" customWidth="1"/>
    <col min="11278" max="11278" width="17" style="62" customWidth="1"/>
    <col min="11279" max="11279" width="13.140625" style="62" customWidth="1"/>
    <col min="11280" max="11284" width="14.7109375" style="62" customWidth="1"/>
    <col min="11285" max="11285" width="12.5703125" style="62" customWidth="1"/>
    <col min="11286" max="11286" width="9.85546875" style="62" customWidth="1"/>
    <col min="11287" max="11287" width="14.7109375" style="62" customWidth="1"/>
    <col min="11288" max="11288" width="19.140625" style="62" customWidth="1"/>
    <col min="11289" max="11289" width="20.28515625" style="62" customWidth="1"/>
    <col min="11290" max="11290" width="13" style="62" customWidth="1"/>
    <col min="11291" max="11520" width="9.140625" style="62"/>
    <col min="11521" max="11521" width="17.85546875" style="62" customWidth="1"/>
    <col min="11522" max="11522" width="16.85546875" style="62" customWidth="1"/>
    <col min="11523" max="11523" width="14.5703125" style="62" customWidth="1"/>
    <col min="11524" max="11525" width="15.85546875" style="62" customWidth="1"/>
    <col min="11526" max="11526" width="17.140625" style="62" customWidth="1"/>
    <col min="11527" max="11527" width="13.140625" style="62" customWidth="1"/>
    <col min="11528" max="11528" width="12.140625" style="62" customWidth="1"/>
    <col min="11529" max="11529" width="12.85546875" style="62" customWidth="1"/>
    <col min="11530" max="11530" width="14.42578125" style="62" customWidth="1"/>
    <col min="11531" max="11531" width="12.7109375" style="62" customWidth="1"/>
    <col min="11532" max="11532" width="17.5703125" style="62" customWidth="1"/>
    <col min="11533" max="11533" width="12.5703125" style="62" customWidth="1"/>
    <col min="11534" max="11534" width="17" style="62" customWidth="1"/>
    <col min="11535" max="11535" width="13.140625" style="62" customWidth="1"/>
    <col min="11536" max="11540" width="14.7109375" style="62" customWidth="1"/>
    <col min="11541" max="11541" width="12.5703125" style="62" customWidth="1"/>
    <col min="11542" max="11542" width="9.85546875" style="62" customWidth="1"/>
    <col min="11543" max="11543" width="14.7109375" style="62" customWidth="1"/>
    <col min="11544" max="11544" width="19.140625" style="62" customWidth="1"/>
    <col min="11545" max="11545" width="20.28515625" style="62" customWidth="1"/>
    <col min="11546" max="11546" width="13" style="62" customWidth="1"/>
    <col min="11547" max="11776" width="9.140625" style="62"/>
    <col min="11777" max="11777" width="17.85546875" style="62" customWidth="1"/>
    <col min="11778" max="11778" width="16.85546875" style="62" customWidth="1"/>
    <col min="11779" max="11779" width="14.5703125" style="62" customWidth="1"/>
    <col min="11780" max="11781" width="15.85546875" style="62" customWidth="1"/>
    <col min="11782" max="11782" width="17.140625" style="62" customWidth="1"/>
    <col min="11783" max="11783" width="13.140625" style="62" customWidth="1"/>
    <col min="11784" max="11784" width="12.140625" style="62" customWidth="1"/>
    <col min="11785" max="11785" width="12.85546875" style="62" customWidth="1"/>
    <col min="11786" max="11786" width="14.42578125" style="62" customWidth="1"/>
    <col min="11787" max="11787" width="12.7109375" style="62" customWidth="1"/>
    <col min="11788" max="11788" width="17.5703125" style="62" customWidth="1"/>
    <col min="11789" max="11789" width="12.5703125" style="62" customWidth="1"/>
    <col min="11790" max="11790" width="17" style="62" customWidth="1"/>
    <col min="11791" max="11791" width="13.140625" style="62" customWidth="1"/>
    <col min="11792" max="11796" width="14.7109375" style="62" customWidth="1"/>
    <col min="11797" max="11797" width="12.5703125" style="62" customWidth="1"/>
    <col min="11798" max="11798" width="9.85546875" style="62" customWidth="1"/>
    <col min="11799" max="11799" width="14.7109375" style="62" customWidth="1"/>
    <col min="11800" max="11800" width="19.140625" style="62" customWidth="1"/>
    <col min="11801" max="11801" width="20.28515625" style="62" customWidth="1"/>
    <col min="11802" max="11802" width="13" style="62" customWidth="1"/>
    <col min="11803" max="12032" width="9.140625" style="62"/>
    <col min="12033" max="12033" width="17.85546875" style="62" customWidth="1"/>
    <col min="12034" max="12034" width="16.85546875" style="62" customWidth="1"/>
    <col min="12035" max="12035" width="14.5703125" style="62" customWidth="1"/>
    <col min="12036" max="12037" width="15.85546875" style="62" customWidth="1"/>
    <col min="12038" max="12038" width="17.140625" style="62" customWidth="1"/>
    <col min="12039" max="12039" width="13.140625" style="62" customWidth="1"/>
    <col min="12040" max="12040" width="12.140625" style="62" customWidth="1"/>
    <col min="12041" max="12041" width="12.85546875" style="62" customWidth="1"/>
    <col min="12042" max="12042" width="14.42578125" style="62" customWidth="1"/>
    <col min="12043" max="12043" width="12.7109375" style="62" customWidth="1"/>
    <col min="12044" max="12044" width="17.5703125" style="62" customWidth="1"/>
    <col min="12045" max="12045" width="12.5703125" style="62" customWidth="1"/>
    <col min="12046" max="12046" width="17" style="62" customWidth="1"/>
    <col min="12047" max="12047" width="13.140625" style="62" customWidth="1"/>
    <col min="12048" max="12052" width="14.7109375" style="62" customWidth="1"/>
    <col min="12053" max="12053" width="12.5703125" style="62" customWidth="1"/>
    <col min="12054" max="12054" width="9.85546875" style="62" customWidth="1"/>
    <col min="12055" max="12055" width="14.7109375" style="62" customWidth="1"/>
    <col min="12056" max="12056" width="19.140625" style="62" customWidth="1"/>
    <col min="12057" max="12057" width="20.28515625" style="62" customWidth="1"/>
    <col min="12058" max="12058" width="13" style="62" customWidth="1"/>
    <col min="12059" max="12288" width="9.140625" style="62"/>
    <col min="12289" max="12289" width="17.85546875" style="62" customWidth="1"/>
    <col min="12290" max="12290" width="16.85546875" style="62" customWidth="1"/>
    <col min="12291" max="12291" width="14.5703125" style="62" customWidth="1"/>
    <col min="12292" max="12293" width="15.85546875" style="62" customWidth="1"/>
    <col min="12294" max="12294" width="17.140625" style="62" customWidth="1"/>
    <col min="12295" max="12295" width="13.140625" style="62" customWidth="1"/>
    <col min="12296" max="12296" width="12.140625" style="62" customWidth="1"/>
    <col min="12297" max="12297" width="12.85546875" style="62" customWidth="1"/>
    <col min="12298" max="12298" width="14.42578125" style="62" customWidth="1"/>
    <col min="12299" max="12299" width="12.7109375" style="62" customWidth="1"/>
    <col min="12300" max="12300" width="17.5703125" style="62" customWidth="1"/>
    <col min="12301" max="12301" width="12.5703125" style="62" customWidth="1"/>
    <col min="12302" max="12302" width="17" style="62" customWidth="1"/>
    <col min="12303" max="12303" width="13.140625" style="62" customWidth="1"/>
    <col min="12304" max="12308" width="14.7109375" style="62" customWidth="1"/>
    <col min="12309" max="12309" width="12.5703125" style="62" customWidth="1"/>
    <col min="12310" max="12310" width="9.85546875" style="62" customWidth="1"/>
    <col min="12311" max="12311" width="14.7109375" style="62" customWidth="1"/>
    <col min="12312" max="12312" width="19.140625" style="62" customWidth="1"/>
    <col min="12313" max="12313" width="20.28515625" style="62" customWidth="1"/>
    <col min="12314" max="12314" width="13" style="62" customWidth="1"/>
    <col min="12315" max="12544" width="9.140625" style="62"/>
    <col min="12545" max="12545" width="17.85546875" style="62" customWidth="1"/>
    <col min="12546" max="12546" width="16.85546875" style="62" customWidth="1"/>
    <col min="12547" max="12547" width="14.5703125" style="62" customWidth="1"/>
    <col min="12548" max="12549" width="15.85546875" style="62" customWidth="1"/>
    <col min="12550" max="12550" width="17.140625" style="62" customWidth="1"/>
    <col min="12551" max="12551" width="13.140625" style="62" customWidth="1"/>
    <col min="12552" max="12552" width="12.140625" style="62" customWidth="1"/>
    <col min="12553" max="12553" width="12.85546875" style="62" customWidth="1"/>
    <col min="12554" max="12554" width="14.42578125" style="62" customWidth="1"/>
    <col min="12555" max="12555" width="12.7109375" style="62" customWidth="1"/>
    <col min="12556" max="12556" width="17.5703125" style="62" customWidth="1"/>
    <col min="12557" max="12557" width="12.5703125" style="62" customWidth="1"/>
    <col min="12558" max="12558" width="17" style="62" customWidth="1"/>
    <col min="12559" max="12559" width="13.140625" style="62" customWidth="1"/>
    <col min="12560" max="12564" width="14.7109375" style="62" customWidth="1"/>
    <col min="12565" max="12565" width="12.5703125" style="62" customWidth="1"/>
    <col min="12566" max="12566" width="9.85546875" style="62" customWidth="1"/>
    <col min="12567" max="12567" width="14.7109375" style="62" customWidth="1"/>
    <col min="12568" max="12568" width="19.140625" style="62" customWidth="1"/>
    <col min="12569" max="12569" width="20.28515625" style="62" customWidth="1"/>
    <col min="12570" max="12570" width="13" style="62" customWidth="1"/>
    <col min="12571" max="12800" width="9.140625" style="62"/>
    <col min="12801" max="12801" width="17.85546875" style="62" customWidth="1"/>
    <col min="12802" max="12802" width="16.85546875" style="62" customWidth="1"/>
    <col min="12803" max="12803" width="14.5703125" style="62" customWidth="1"/>
    <col min="12804" max="12805" width="15.85546875" style="62" customWidth="1"/>
    <col min="12806" max="12806" width="17.140625" style="62" customWidth="1"/>
    <col min="12807" max="12807" width="13.140625" style="62" customWidth="1"/>
    <col min="12808" max="12808" width="12.140625" style="62" customWidth="1"/>
    <col min="12809" max="12809" width="12.85546875" style="62" customWidth="1"/>
    <col min="12810" max="12810" width="14.42578125" style="62" customWidth="1"/>
    <col min="12811" max="12811" width="12.7109375" style="62" customWidth="1"/>
    <col min="12812" max="12812" width="17.5703125" style="62" customWidth="1"/>
    <col min="12813" max="12813" width="12.5703125" style="62" customWidth="1"/>
    <col min="12814" max="12814" width="17" style="62" customWidth="1"/>
    <col min="12815" max="12815" width="13.140625" style="62" customWidth="1"/>
    <col min="12816" max="12820" width="14.7109375" style="62" customWidth="1"/>
    <col min="12821" max="12821" width="12.5703125" style="62" customWidth="1"/>
    <col min="12822" max="12822" width="9.85546875" style="62" customWidth="1"/>
    <col min="12823" max="12823" width="14.7109375" style="62" customWidth="1"/>
    <col min="12824" max="12824" width="19.140625" style="62" customWidth="1"/>
    <col min="12825" max="12825" width="20.28515625" style="62" customWidth="1"/>
    <col min="12826" max="12826" width="13" style="62" customWidth="1"/>
    <col min="12827" max="13056" width="9.140625" style="62"/>
    <col min="13057" max="13057" width="17.85546875" style="62" customWidth="1"/>
    <col min="13058" max="13058" width="16.85546875" style="62" customWidth="1"/>
    <col min="13059" max="13059" width="14.5703125" style="62" customWidth="1"/>
    <col min="13060" max="13061" width="15.85546875" style="62" customWidth="1"/>
    <col min="13062" max="13062" width="17.140625" style="62" customWidth="1"/>
    <col min="13063" max="13063" width="13.140625" style="62" customWidth="1"/>
    <col min="13064" max="13064" width="12.140625" style="62" customWidth="1"/>
    <col min="13065" max="13065" width="12.85546875" style="62" customWidth="1"/>
    <col min="13066" max="13066" width="14.42578125" style="62" customWidth="1"/>
    <col min="13067" max="13067" width="12.7109375" style="62" customWidth="1"/>
    <col min="13068" max="13068" width="17.5703125" style="62" customWidth="1"/>
    <col min="13069" max="13069" width="12.5703125" style="62" customWidth="1"/>
    <col min="13070" max="13070" width="17" style="62" customWidth="1"/>
    <col min="13071" max="13071" width="13.140625" style="62" customWidth="1"/>
    <col min="13072" max="13076" width="14.7109375" style="62" customWidth="1"/>
    <col min="13077" max="13077" width="12.5703125" style="62" customWidth="1"/>
    <col min="13078" max="13078" width="9.85546875" style="62" customWidth="1"/>
    <col min="13079" max="13079" width="14.7109375" style="62" customWidth="1"/>
    <col min="13080" max="13080" width="19.140625" style="62" customWidth="1"/>
    <col min="13081" max="13081" width="20.28515625" style="62" customWidth="1"/>
    <col min="13082" max="13082" width="13" style="62" customWidth="1"/>
    <col min="13083" max="13312" width="9.140625" style="62"/>
    <col min="13313" max="13313" width="17.85546875" style="62" customWidth="1"/>
    <col min="13314" max="13314" width="16.85546875" style="62" customWidth="1"/>
    <col min="13315" max="13315" width="14.5703125" style="62" customWidth="1"/>
    <col min="13316" max="13317" width="15.85546875" style="62" customWidth="1"/>
    <col min="13318" max="13318" width="17.140625" style="62" customWidth="1"/>
    <col min="13319" max="13319" width="13.140625" style="62" customWidth="1"/>
    <col min="13320" max="13320" width="12.140625" style="62" customWidth="1"/>
    <col min="13321" max="13321" width="12.85546875" style="62" customWidth="1"/>
    <col min="13322" max="13322" width="14.42578125" style="62" customWidth="1"/>
    <col min="13323" max="13323" width="12.7109375" style="62" customWidth="1"/>
    <col min="13324" max="13324" width="17.5703125" style="62" customWidth="1"/>
    <col min="13325" max="13325" width="12.5703125" style="62" customWidth="1"/>
    <col min="13326" max="13326" width="17" style="62" customWidth="1"/>
    <col min="13327" max="13327" width="13.140625" style="62" customWidth="1"/>
    <col min="13328" max="13332" width="14.7109375" style="62" customWidth="1"/>
    <col min="13333" max="13333" width="12.5703125" style="62" customWidth="1"/>
    <col min="13334" max="13334" width="9.85546875" style="62" customWidth="1"/>
    <col min="13335" max="13335" width="14.7109375" style="62" customWidth="1"/>
    <col min="13336" max="13336" width="19.140625" style="62" customWidth="1"/>
    <col min="13337" max="13337" width="20.28515625" style="62" customWidth="1"/>
    <col min="13338" max="13338" width="13" style="62" customWidth="1"/>
    <col min="13339" max="13568" width="9.140625" style="62"/>
    <col min="13569" max="13569" width="17.85546875" style="62" customWidth="1"/>
    <col min="13570" max="13570" width="16.85546875" style="62" customWidth="1"/>
    <col min="13571" max="13571" width="14.5703125" style="62" customWidth="1"/>
    <col min="13572" max="13573" width="15.85546875" style="62" customWidth="1"/>
    <col min="13574" max="13574" width="17.140625" style="62" customWidth="1"/>
    <col min="13575" max="13575" width="13.140625" style="62" customWidth="1"/>
    <col min="13576" max="13576" width="12.140625" style="62" customWidth="1"/>
    <col min="13577" max="13577" width="12.85546875" style="62" customWidth="1"/>
    <col min="13578" max="13578" width="14.42578125" style="62" customWidth="1"/>
    <col min="13579" max="13579" width="12.7109375" style="62" customWidth="1"/>
    <col min="13580" max="13580" width="17.5703125" style="62" customWidth="1"/>
    <col min="13581" max="13581" width="12.5703125" style="62" customWidth="1"/>
    <col min="13582" max="13582" width="17" style="62" customWidth="1"/>
    <col min="13583" max="13583" width="13.140625" style="62" customWidth="1"/>
    <col min="13584" max="13588" width="14.7109375" style="62" customWidth="1"/>
    <col min="13589" max="13589" width="12.5703125" style="62" customWidth="1"/>
    <col min="13590" max="13590" width="9.85546875" style="62" customWidth="1"/>
    <col min="13591" max="13591" width="14.7109375" style="62" customWidth="1"/>
    <col min="13592" max="13592" width="19.140625" style="62" customWidth="1"/>
    <col min="13593" max="13593" width="20.28515625" style="62" customWidth="1"/>
    <col min="13594" max="13594" width="13" style="62" customWidth="1"/>
    <col min="13595" max="13824" width="9.140625" style="62"/>
    <col min="13825" max="13825" width="17.85546875" style="62" customWidth="1"/>
    <col min="13826" max="13826" width="16.85546875" style="62" customWidth="1"/>
    <col min="13827" max="13827" width="14.5703125" style="62" customWidth="1"/>
    <col min="13828" max="13829" width="15.85546875" style="62" customWidth="1"/>
    <col min="13830" max="13830" width="17.140625" style="62" customWidth="1"/>
    <col min="13831" max="13831" width="13.140625" style="62" customWidth="1"/>
    <col min="13832" max="13832" width="12.140625" style="62" customWidth="1"/>
    <col min="13833" max="13833" width="12.85546875" style="62" customWidth="1"/>
    <col min="13834" max="13834" width="14.42578125" style="62" customWidth="1"/>
    <col min="13835" max="13835" width="12.7109375" style="62" customWidth="1"/>
    <col min="13836" max="13836" width="17.5703125" style="62" customWidth="1"/>
    <col min="13837" max="13837" width="12.5703125" style="62" customWidth="1"/>
    <col min="13838" max="13838" width="17" style="62" customWidth="1"/>
    <col min="13839" max="13839" width="13.140625" style="62" customWidth="1"/>
    <col min="13840" max="13844" width="14.7109375" style="62" customWidth="1"/>
    <col min="13845" max="13845" width="12.5703125" style="62" customWidth="1"/>
    <col min="13846" max="13846" width="9.85546875" style="62" customWidth="1"/>
    <col min="13847" max="13847" width="14.7109375" style="62" customWidth="1"/>
    <col min="13848" max="13848" width="19.140625" style="62" customWidth="1"/>
    <col min="13849" max="13849" width="20.28515625" style="62" customWidth="1"/>
    <col min="13850" max="13850" width="13" style="62" customWidth="1"/>
    <col min="13851" max="14080" width="9.140625" style="62"/>
    <col min="14081" max="14081" width="17.85546875" style="62" customWidth="1"/>
    <col min="14082" max="14082" width="16.85546875" style="62" customWidth="1"/>
    <col min="14083" max="14083" width="14.5703125" style="62" customWidth="1"/>
    <col min="14084" max="14085" width="15.85546875" style="62" customWidth="1"/>
    <col min="14086" max="14086" width="17.140625" style="62" customWidth="1"/>
    <col min="14087" max="14087" width="13.140625" style="62" customWidth="1"/>
    <col min="14088" max="14088" width="12.140625" style="62" customWidth="1"/>
    <col min="14089" max="14089" width="12.85546875" style="62" customWidth="1"/>
    <col min="14090" max="14090" width="14.42578125" style="62" customWidth="1"/>
    <col min="14091" max="14091" width="12.7109375" style="62" customWidth="1"/>
    <col min="14092" max="14092" width="17.5703125" style="62" customWidth="1"/>
    <col min="14093" max="14093" width="12.5703125" style="62" customWidth="1"/>
    <col min="14094" max="14094" width="17" style="62" customWidth="1"/>
    <col min="14095" max="14095" width="13.140625" style="62" customWidth="1"/>
    <col min="14096" max="14100" width="14.7109375" style="62" customWidth="1"/>
    <col min="14101" max="14101" width="12.5703125" style="62" customWidth="1"/>
    <col min="14102" max="14102" width="9.85546875" style="62" customWidth="1"/>
    <col min="14103" max="14103" width="14.7109375" style="62" customWidth="1"/>
    <col min="14104" max="14104" width="19.140625" style="62" customWidth="1"/>
    <col min="14105" max="14105" width="20.28515625" style="62" customWidth="1"/>
    <col min="14106" max="14106" width="13" style="62" customWidth="1"/>
    <col min="14107" max="14336" width="9.140625" style="62"/>
    <col min="14337" max="14337" width="17.85546875" style="62" customWidth="1"/>
    <col min="14338" max="14338" width="16.85546875" style="62" customWidth="1"/>
    <col min="14339" max="14339" width="14.5703125" style="62" customWidth="1"/>
    <col min="14340" max="14341" width="15.85546875" style="62" customWidth="1"/>
    <col min="14342" max="14342" width="17.140625" style="62" customWidth="1"/>
    <col min="14343" max="14343" width="13.140625" style="62" customWidth="1"/>
    <col min="14344" max="14344" width="12.140625" style="62" customWidth="1"/>
    <col min="14345" max="14345" width="12.85546875" style="62" customWidth="1"/>
    <col min="14346" max="14346" width="14.42578125" style="62" customWidth="1"/>
    <col min="14347" max="14347" width="12.7109375" style="62" customWidth="1"/>
    <col min="14348" max="14348" width="17.5703125" style="62" customWidth="1"/>
    <col min="14349" max="14349" width="12.5703125" style="62" customWidth="1"/>
    <col min="14350" max="14350" width="17" style="62" customWidth="1"/>
    <col min="14351" max="14351" width="13.140625" style="62" customWidth="1"/>
    <col min="14352" max="14356" width="14.7109375" style="62" customWidth="1"/>
    <col min="14357" max="14357" width="12.5703125" style="62" customWidth="1"/>
    <col min="14358" max="14358" width="9.85546875" style="62" customWidth="1"/>
    <col min="14359" max="14359" width="14.7109375" style="62" customWidth="1"/>
    <col min="14360" max="14360" width="19.140625" style="62" customWidth="1"/>
    <col min="14361" max="14361" width="20.28515625" style="62" customWidth="1"/>
    <col min="14362" max="14362" width="13" style="62" customWidth="1"/>
    <col min="14363" max="14592" width="9.140625" style="62"/>
    <col min="14593" max="14593" width="17.85546875" style="62" customWidth="1"/>
    <col min="14594" max="14594" width="16.85546875" style="62" customWidth="1"/>
    <col min="14595" max="14595" width="14.5703125" style="62" customWidth="1"/>
    <col min="14596" max="14597" width="15.85546875" style="62" customWidth="1"/>
    <col min="14598" max="14598" width="17.140625" style="62" customWidth="1"/>
    <col min="14599" max="14599" width="13.140625" style="62" customWidth="1"/>
    <col min="14600" max="14600" width="12.140625" style="62" customWidth="1"/>
    <col min="14601" max="14601" width="12.85546875" style="62" customWidth="1"/>
    <col min="14602" max="14602" width="14.42578125" style="62" customWidth="1"/>
    <col min="14603" max="14603" width="12.7109375" style="62" customWidth="1"/>
    <col min="14604" max="14604" width="17.5703125" style="62" customWidth="1"/>
    <col min="14605" max="14605" width="12.5703125" style="62" customWidth="1"/>
    <col min="14606" max="14606" width="17" style="62" customWidth="1"/>
    <col min="14607" max="14607" width="13.140625" style="62" customWidth="1"/>
    <col min="14608" max="14612" width="14.7109375" style="62" customWidth="1"/>
    <col min="14613" max="14613" width="12.5703125" style="62" customWidth="1"/>
    <col min="14614" max="14614" width="9.85546875" style="62" customWidth="1"/>
    <col min="14615" max="14615" width="14.7109375" style="62" customWidth="1"/>
    <col min="14616" max="14616" width="19.140625" style="62" customWidth="1"/>
    <col min="14617" max="14617" width="20.28515625" style="62" customWidth="1"/>
    <col min="14618" max="14618" width="13" style="62" customWidth="1"/>
    <col min="14619" max="14848" width="9.140625" style="62"/>
    <col min="14849" max="14849" width="17.85546875" style="62" customWidth="1"/>
    <col min="14850" max="14850" width="16.85546875" style="62" customWidth="1"/>
    <col min="14851" max="14851" width="14.5703125" style="62" customWidth="1"/>
    <col min="14852" max="14853" width="15.85546875" style="62" customWidth="1"/>
    <col min="14854" max="14854" width="17.140625" style="62" customWidth="1"/>
    <col min="14855" max="14855" width="13.140625" style="62" customWidth="1"/>
    <col min="14856" max="14856" width="12.140625" style="62" customWidth="1"/>
    <col min="14857" max="14857" width="12.85546875" style="62" customWidth="1"/>
    <col min="14858" max="14858" width="14.42578125" style="62" customWidth="1"/>
    <col min="14859" max="14859" width="12.7109375" style="62" customWidth="1"/>
    <col min="14860" max="14860" width="17.5703125" style="62" customWidth="1"/>
    <col min="14861" max="14861" width="12.5703125" style="62" customWidth="1"/>
    <col min="14862" max="14862" width="17" style="62" customWidth="1"/>
    <col min="14863" max="14863" width="13.140625" style="62" customWidth="1"/>
    <col min="14864" max="14868" width="14.7109375" style="62" customWidth="1"/>
    <col min="14869" max="14869" width="12.5703125" style="62" customWidth="1"/>
    <col min="14870" max="14870" width="9.85546875" style="62" customWidth="1"/>
    <col min="14871" max="14871" width="14.7109375" style="62" customWidth="1"/>
    <col min="14872" max="14872" width="19.140625" style="62" customWidth="1"/>
    <col min="14873" max="14873" width="20.28515625" style="62" customWidth="1"/>
    <col min="14874" max="14874" width="13" style="62" customWidth="1"/>
    <col min="14875" max="15104" width="9.140625" style="62"/>
    <col min="15105" max="15105" width="17.85546875" style="62" customWidth="1"/>
    <col min="15106" max="15106" width="16.85546875" style="62" customWidth="1"/>
    <col min="15107" max="15107" width="14.5703125" style="62" customWidth="1"/>
    <col min="15108" max="15109" width="15.85546875" style="62" customWidth="1"/>
    <col min="15110" max="15110" width="17.140625" style="62" customWidth="1"/>
    <col min="15111" max="15111" width="13.140625" style="62" customWidth="1"/>
    <col min="15112" max="15112" width="12.140625" style="62" customWidth="1"/>
    <col min="15113" max="15113" width="12.85546875" style="62" customWidth="1"/>
    <col min="15114" max="15114" width="14.42578125" style="62" customWidth="1"/>
    <col min="15115" max="15115" width="12.7109375" style="62" customWidth="1"/>
    <col min="15116" max="15116" width="17.5703125" style="62" customWidth="1"/>
    <col min="15117" max="15117" width="12.5703125" style="62" customWidth="1"/>
    <col min="15118" max="15118" width="17" style="62" customWidth="1"/>
    <col min="15119" max="15119" width="13.140625" style="62" customWidth="1"/>
    <col min="15120" max="15124" width="14.7109375" style="62" customWidth="1"/>
    <col min="15125" max="15125" width="12.5703125" style="62" customWidth="1"/>
    <col min="15126" max="15126" width="9.85546875" style="62" customWidth="1"/>
    <col min="15127" max="15127" width="14.7109375" style="62" customWidth="1"/>
    <col min="15128" max="15128" width="19.140625" style="62" customWidth="1"/>
    <col min="15129" max="15129" width="20.28515625" style="62" customWidth="1"/>
    <col min="15130" max="15130" width="13" style="62" customWidth="1"/>
    <col min="15131" max="15360" width="9.140625" style="62"/>
    <col min="15361" max="15361" width="17.85546875" style="62" customWidth="1"/>
    <col min="15362" max="15362" width="16.85546875" style="62" customWidth="1"/>
    <col min="15363" max="15363" width="14.5703125" style="62" customWidth="1"/>
    <col min="15364" max="15365" width="15.85546875" style="62" customWidth="1"/>
    <col min="15366" max="15366" width="17.140625" style="62" customWidth="1"/>
    <col min="15367" max="15367" width="13.140625" style="62" customWidth="1"/>
    <col min="15368" max="15368" width="12.140625" style="62" customWidth="1"/>
    <col min="15369" max="15369" width="12.85546875" style="62" customWidth="1"/>
    <col min="15370" max="15370" width="14.42578125" style="62" customWidth="1"/>
    <col min="15371" max="15371" width="12.7109375" style="62" customWidth="1"/>
    <col min="15372" max="15372" width="17.5703125" style="62" customWidth="1"/>
    <col min="15373" max="15373" width="12.5703125" style="62" customWidth="1"/>
    <col min="15374" max="15374" width="17" style="62" customWidth="1"/>
    <col min="15375" max="15375" width="13.140625" style="62" customWidth="1"/>
    <col min="15376" max="15380" width="14.7109375" style="62" customWidth="1"/>
    <col min="15381" max="15381" width="12.5703125" style="62" customWidth="1"/>
    <col min="15382" max="15382" width="9.85546875" style="62" customWidth="1"/>
    <col min="15383" max="15383" width="14.7109375" style="62" customWidth="1"/>
    <col min="15384" max="15384" width="19.140625" style="62" customWidth="1"/>
    <col min="15385" max="15385" width="20.28515625" style="62" customWidth="1"/>
    <col min="15386" max="15386" width="13" style="62" customWidth="1"/>
    <col min="15387" max="15616" width="9.140625" style="62"/>
    <col min="15617" max="15617" width="17.85546875" style="62" customWidth="1"/>
    <col min="15618" max="15618" width="16.85546875" style="62" customWidth="1"/>
    <col min="15619" max="15619" width="14.5703125" style="62" customWidth="1"/>
    <col min="15620" max="15621" width="15.85546875" style="62" customWidth="1"/>
    <col min="15622" max="15622" width="17.140625" style="62" customWidth="1"/>
    <col min="15623" max="15623" width="13.140625" style="62" customWidth="1"/>
    <col min="15624" max="15624" width="12.140625" style="62" customWidth="1"/>
    <col min="15625" max="15625" width="12.85546875" style="62" customWidth="1"/>
    <col min="15626" max="15626" width="14.42578125" style="62" customWidth="1"/>
    <col min="15627" max="15627" width="12.7109375" style="62" customWidth="1"/>
    <col min="15628" max="15628" width="17.5703125" style="62" customWidth="1"/>
    <col min="15629" max="15629" width="12.5703125" style="62" customWidth="1"/>
    <col min="15630" max="15630" width="17" style="62" customWidth="1"/>
    <col min="15631" max="15631" width="13.140625" style="62" customWidth="1"/>
    <col min="15632" max="15636" width="14.7109375" style="62" customWidth="1"/>
    <col min="15637" max="15637" width="12.5703125" style="62" customWidth="1"/>
    <col min="15638" max="15638" width="9.85546875" style="62" customWidth="1"/>
    <col min="15639" max="15639" width="14.7109375" style="62" customWidth="1"/>
    <col min="15640" max="15640" width="19.140625" style="62" customWidth="1"/>
    <col min="15641" max="15641" width="20.28515625" style="62" customWidth="1"/>
    <col min="15642" max="15642" width="13" style="62" customWidth="1"/>
    <col min="15643" max="15872" width="9.140625" style="62"/>
    <col min="15873" max="15873" width="17.85546875" style="62" customWidth="1"/>
    <col min="15874" max="15874" width="16.85546875" style="62" customWidth="1"/>
    <col min="15875" max="15875" width="14.5703125" style="62" customWidth="1"/>
    <col min="15876" max="15877" width="15.85546875" style="62" customWidth="1"/>
    <col min="15878" max="15878" width="17.140625" style="62" customWidth="1"/>
    <col min="15879" max="15879" width="13.140625" style="62" customWidth="1"/>
    <col min="15880" max="15880" width="12.140625" style="62" customWidth="1"/>
    <col min="15881" max="15881" width="12.85546875" style="62" customWidth="1"/>
    <col min="15882" max="15882" width="14.42578125" style="62" customWidth="1"/>
    <col min="15883" max="15883" width="12.7109375" style="62" customWidth="1"/>
    <col min="15884" max="15884" width="17.5703125" style="62" customWidth="1"/>
    <col min="15885" max="15885" width="12.5703125" style="62" customWidth="1"/>
    <col min="15886" max="15886" width="17" style="62" customWidth="1"/>
    <col min="15887" max="15887" width="13.140625" style="62" customWidth="1"/>
    <col min="15888" max="15892" width="14.7109375" style="62" customWidth="1"/>
    <col min="15893" max="15893" width="12.5703125" style="62" customWidth="1"/>
    <col min="15894" max="15894" width="9.85546875" style="62" customWidth="1"/>
    <col min="15895" max="15895" width="14.7109375" style="62" customWidth="1"/>
    <col min="15896" max="15896" width="19.140625" style="62" customWidth="1"/>
    <col min="15897" max="15897" width="20.28515625" style="62" customWidth="1"/>
    <col min="15898" max="15898" width="13" style="62" customWidth="1"/>
    <col min="15899" max="16128" width="9.140625" style="62"/>
    <col min="16129" max="16129" width="17.85546875" style="62" customWidth="1"/>
    <col min="16130" max="16130" width="16.85546875" style="62" customWidth="1"/>
    <col min="16131" max="16131" width="14.5703125" style="62" customWidth="1"/>
    <col min="16132" max="16133" width="15.85546875" style="62" customWidth="1"/>
    <col min="16134" max="16134" width="17.140625" style="62" customWidth="1"/>
    <col min="16135" max="16135" width="13.140625" style="62" customWidth="1"/>
    <col min="16136" max="16136" width="12.140625" style="62" customWidth="1"/>
    <col min="16137" max="16137" width="12.85546875" style="62" customWidth="1"/>
    <col min="16138" max="16138" width="14.42578125" style="62" customWidth="1"/>
    <col min="16139" max="16139" width="12.7109375" style="62" customWidth="1"/>
    <col min="16140" max="16140" width="17.5703125" style="62" customWidth="1"/>
    <col min="16141" max="16141" width="12.5703125" style="62" customWidth="1"/>
    <col min="16142" max="16142" width="17" style="62" customWidth="1"/>
    <col min="16143" max="16143" width="13.140625" style="62" customWidth="1"/>
    <col min="16144" max="16148" width="14.7109375" style="62" customWidth="1"/>
    <col min="16149" max="16149" width="12.5703125" style="62" customWidth="1"/>
    <col min="16150" max="16150" width="9.85546875" style="62" customWidth="1"/>
    <col min="16151" max="16151" width="14.7109375" style="62" customWidth="1"/>
    <col min="16152" max="16152" width="19.140625" style="62" customWidth="1"/>
    <col min="16153" max="16153" width="20.28515625" style="62" customWidth="1"/>
    <col min="16154" max="16154" width="13" style="62" customWidth="1"/>
    <col min="16155" max="16384" width="9.140625" style="62"/>
  </cols>
  <sheetData>
    <row r="1" spans="1:25" ht="24" customHeight="1" x14ac:dyDescent="0.2">
      <c r="A1" s="688" t="s">
        <v>1157</v>
      </c>
      <c r="B1" s="688"/>
      <c r="C1" s="688"/>
      <c r="D1" s="688"/>
      <c r="E1" s="688"/>
      <c r="F1" s="688"/>
      <c r="G1" s="688"/>
      <c r="H1" s="688"/>
      <c r="I1" s="688"/>
      <c r="J1" s="688"/>
      <c r="K1" s="688"/>
      <c r="L1" s="688"/>
      <c r="M1" s="688"/>
      <c r="N1" s="688"/>
      <c r="O1" s="688"/>
      <c r="P1" s="688"/>
      <c r="Q1" s="688"/>
      <c r="R1" s="688"/>
      <c r="S1" s="688"/>
      <c r="T1" s="688"/>
      <c r="U1" s="688"/>
      <c r="V1" s="688"/>
      <c r="W1" s="688"/>
      <c r="X1" s="688"/>
      <c r="Y1" s="688"/>
    </row>
    <row r="2" spans="1:25" ht="18.75" x14ac:dyDescent="0.2">
      <c r="A2" s="688" t="s">
        <v>1065</v>
      </c>
      <c r="B2" s="688"/>
      <c r="C2" s="688"/>
      <c r="D2" s="688"/>
      <c r="E2" s="688"/>
      <c r="F2" s="688"/>
      <c r="G2" s="688"/>
      <c r="H2" s="688"/>
      <c r="I2" s="688"/>
      <c r="J2" s="688"/>
      <c r="K2" s="688"/>
      <c r="L2" s="688"/>
      <c r="M2" s="688"/>
      <c r="N2" s="688"/>
      <c r="O2" s="688"/>
      <c r="P2" s="688"/>
      <c r="Q2" s="688"/>
      <c r="R2" s="688"/>
      <c r="S2" s="688"/>
      <c r="T2" s="688"/>
      <c r="U2" s="688"/>
      <c r="V2" s="688"/>
      <c r="W2" s="688"/>
      <c r="X2" s="688"/>
      <c r="Y2" s="688"/>
    </row>
    <row r="4" spans="1:25" ht="18" x14ac:dyDescent="0.2">
      <c r="A4" s="689" t="s">
        <v>326</v>
      </c>
      <c r="B4" s="689"/>
      <c r="C4" s="689"/>
      <c r="D4" s="689"/>
      <c r="E4" s="689"/>
      <c r="F4" s="689"/>
      <c r="G4" s="689"/>
      <c r="H4" s="689"/>
      <c r="I4" s="689"/>
      <c r="J4" s="689"/>
      <c r="K4" s="689"/>
      <c r="L4" s="689"/>
      <c r="M4" s="689"/>
      <c r="N4" s="689"/>
      <c r="O4" s="689"/>
      <c r="P4" s="689"/>
      <c r="Q4" s="689"/>
      <c r="R4" s="689"/>
      <c r="S4" s="689"/>
      <c r="T4" s="689"/>
      <c r="U4" s="689"/>
      <c r="V4" s="689"/>
      <c r="W4" s="689"/>
      <c r="X4" s="689"/>
      <c r="Y4" s="689"/>
    </row>
    <row r="5" spans="1:25" ht="18" x14ac:dyDescent="0.2">
      <c r="A5" s="63"/>
      <c r="B5" s="63"/>
      <c r="C5" s="63"/>
      <c r="D5" s="64"/>
      <c r="E5" s="64"/>
      <c r="F5" s="64"/>
      <c r="G5" s="64"/>
      <c r="H5" s="64"/>
      <c r="I5" s="64"/>
      <c r="J5" s="64"/>
      <c r="K5" s="64"/>
      <c r="L5" s="64"/>
      <c r="M5" s="64"/>
      <c r="N5" s="64"/>
      <c r="O5" s="64"/>
      <c r="P5" s="64"/>
      <c r="Q5" s="64"/>
      <c r="R5" s="64"/>
      <c r="S5" s="64"/>
      <c r="T5" s="64"/>
    </row>
    <row r="7" spans="1:25" ht="70.5" customHeight="1" x14ac:dyDescent="0.2">
      <c r="A7" s="690" t="s">
        <v>327</v>
      </c>
      <c r="B7" s="692" t="s">
        <v>328</v>
      </c>
      <c r="C7" s="692" t="s">
        <v>329</v>
      </c>
      <c r="D7" s="690" t="s">
        <v>330</v>
      </c>
      <c r="E7" s="690" t="s">
        <v>331</v>
      </c>
      <c r="F7" s="690" t="s">
        <v>332</v>
      </c>
      <c r="G7" s="690" t="s">
        <v>333</v>
      </c>
      <c r="H7" s="690" t="s">
        <v>334</v>
      </c>
      <c r="I7" s="692" t="s">
        <v>335</v>
      </c>
      <c r="J7" s="709" t="s">
        <v>336</v>
      </c>
      <c r="K7" s="709" t="s">
        <v>337</v>
      </c>
      <c r="L7" s="690" t="s">
        <v>338</v>
      </c>
      <c r="M7" s="690" t="s">
        <v>339</v>
      </c>
      <c r="N7" s="690" t="s">
        <v>340</v>
      </c>
      <c r="O7" s="697" t="s">
        <v>1116</v>
      </c>
      <c r="P7" s="697" t="s">
        <v>342</v>
      </c>
      <c r="Q7" s="709" t="s">
        <v>343</v>
      </c>
      <c r="R7" s="709"/>
      <c r="S7" s="709"/>
      <c r="T7" s="709"/>
      <c r="U7" s="709"/>
      <c r="V7" s="709"/>
      <c r="W7" s="690" t="s">
        <v>499</v>
      </c>
      <c r="X7" s="690"/>
      <c r="Y7" s="694" t="s">
        <v>344</v>
      </c>
    </row>
    <row r="8" spans="1:25" ht="38.25" customHeight="1" x14ac:dyDescent="0.2">
      <c r="A8" s="691"/>
      <c r="B8" s="693"/>
      <c r="C8" s="693"/>
      <c r="D8" s="690"/>
      <c r="E8" s="691"/>
      <c r="F8" s="690"/>
      <c r="G8" s="690"/>
      <c r="H8" s="690"/>
      <c r="I8" s="714"/>
      <c r="J8" s="710"/>
      <c r="K8" s="710"/>
      <c r="L8" s="691"/>
      <c r="M8" s="691"/>
      <c r="N8" s="691"/>
      <c r="O8" s="698"/>
      <c r="P8" s="698"/>
      <c r="Q8" s="696" t="s">
        <v>672</v>
      </c>
      <c r="R8" s="696" t="s">
        <v>673</v>
      </c>
      <c r="S8" s="696" t="s">
        <v>674</v>
      </c>
      <c r="T8" s="715" t="s">
        <v>345</v>
      </c>
      <c r="U8" s="703" t="s">
        <v>346</v>
      </c>
      <c r="V8" s="703"/>
      <c r="W8" s="690" t="s">
        <v>347</v>
      </c>
      <c r="X8" s="690" t="s">
        <v>348</v>
      </c>
      <c r="Y8" s="695"/>
    </row>
    <row r="9" spans="1:25" ht="24" customHeight="1" x14ac:dyDescent="0.2">
      <c r="A9" s="691"/>
      <c r="B9" s="693"/>
      <c r="C9" s="693"/>
      <c r="D9" s="690"/>
      <c r="E9" s="691"/>
      <c r="F9" s="690"/>
      <c r="G9" s="690"/>
      <c r="H9" s="690"/>
      <c r="I9" s="714"/>
      <c r="J9" s="710"/>
      <c r="K9" s="710"/>
      <c r="L9" s="691"/>
      <c r="M9" s="691"/>
      <c r="N9" s="691"/>
      <c r="O9" s="698"/>
      <c r="P9" s="698"/>
      <c r="Q9" s="691"/>
      <c r="R9" s="691"/>
      <c r="S9" s="691"/>
      <c r="T9" s="710"/>
      <c r="U9" s="65" t="s">
        <v>349</v>
      </c>
      <c r="V9" s="65" t="s">
        <v>350</v>
      </c>
      <c r="W9" s="690"/>
      <c r="X9" s="690"/>
      <c r="Y9" s="695"/>
    </row>
    <row r="10" spans="1:25" ht="24" customHeight="1" x14ac:dyDescent="0.25">
      <c r="A10" s="679" t="s">
        <v>1066</v>
      </c>
      <c r="B10" s="676"/>
      <c r="C10" s="676"/>
      <c r="D10" s="671"/>
      <c r="E10" s="674"/>
      <c r="F10" s="671"/>
      <c r="G10" s="671"/>
      <c r="H10" s="671"/>
      <c r="I10" s="672"/>
      <c r="J10" s="673"/>
      <c r="K10" s="673"/>
      <c r="L10" s="674"/>
      <c r="M10" s="674"/>
      <c r="N10" s="674"/>
      <c r="O10" s="678"/>
      <c r="P10" s="678"/>
      <c r="Q10" s="674"/>
      <c r="R10" s="674"/>
      <c r="S10" s="674"/>
      <c r="T10" s="673"/>
      <c r="U10" s="675"/>
      <c r="V10" s="675"/>
      <c r="W10" s="671" t="s">
        <v>359</v>
      </c>
      <c r="X10" s="671" t="s">
        <v>1148</v>
      </c>
      <c r="Y10" s="677"/>
    </row>
    <row r="11" spans="1:25" ht="38.25" customHeight="1" x14ac:dyDescent="0.2">
      <c r="A11" s="66" t="s">
        <v>594</v>
      </c>
      <c r="B11" s="66" t="s">
        <v>352</v>
      </c>
      <c r="C11" s="67">
        <v>2022</v>
      </c>
      <c r="D11" s="67">
        <v>2022</v>
      </c>
      <c r="E11" s="67" t="s">
        <v>363</v>
      </c>
      <c r="F11" s="67" t="s">
        <v>353</v>
      </c>
      <c r="G11" s="67" t="s">
        <v>363</v>
      </c>
      <c r="H11" s="67" t="s">
        <v>363</v>
      </c>
      <c r="I11" s="67" t="s">
        <v>355</v>
      </c>
      <c r="J11" s="68" t="s">
        <v>364</v>
      </c>
      <c r="K11" s="67" t="s">
        <v>365</v>
      </c>
      <c r="L11" s="68" t="s">
        <v>366</v>
      </c>
      <c r="M11" s="68">
        <v>1</v>
      </c>
      <c r="N11" s="67" t="s">
        <v>1150</v>
      </c>
      <c r="O11" s="68">
        <v>1</v>
      </c>
      <c r="P11" s="68" t="s">
        <v>353</v>
      </c>
      <c r="Q11" s="148">
        <f>'SP SERVIZI 22-23 '!G78</f>
        <v>3443.46</v>
      </c>
      <c r="R11" s="65">
        <v>3443.46</v>
      </c>
      <c r="S11" s="65"/>
      <c r="T11" s="65"/>
      <c r="U11" s="65"/>
      <c r="V11" s="67"/>
      <c r="W11" s="671" t="s">
        <v>359</v>
      </c>
      <c r="X11" s="671" t="s">
        <v>1148</v>
      </c>
      <c r="Y11" s="71"/>
    </row>
    <row r="12" spans="1:25" ht="38.25" customHeight="1" x14ac:dyDescent="0.2">
      <c r="A12" s="66" t="s">
        <v>595</v>
      </c>
      <c r="B12" s="66" t="s">
        <v>352</v>
      </c>
      <c r="C12" s="67">
        <v>2022</v>
      </c>
      <c r="D12" s="67">
        <v>2022</v>
      </c>
      <c r="E12" s="67" t="s">
        <v>354</v>
      </c>
      <c r="F12" s="67"/>
      <c r="G12" s="67"/>
      <c r="H12" s="67"/>
      <c r="I12" s="67"/>
      <c r="J12" s="68" t="s">
        <v>361</v>
      </c>
      <c r="K12" s="67" t="s">
        <v>596</v>
      </c>
      <c r="L12" s="68" t="s">
        <v>501</v>
      </c>
      <c r="M12" s="68">
        <v>1</v>
      </c>
      <c r="N12" s="67" t="s">
        <v>1150</v>
      </c>
      <c r="O12" s="68">
        <v>1</v>
      </c>
      <c r="P12" s="68" t="s">
        <v>353</v>
      </c>
      <c r="Q12" s="148">
        <f>'SP SERVIZI 22-23 '!G79</f>
        <v>6882.84</v>
      </c>
      <c r="R12" s="65">
        <v>6882.84</v>
      </c>
      <c r="S12" s="65"/>
      <c r="T12" s="65"/>
      <c r="U12" s="65"/>
      <c r="V12" s="67"/>
      <c r="W12" s="671" t="s">
        <v>359</v>
      </c>
      <c r="X12" s="671" t="s">
        <v>1148</v>
      </c>
      <c r="Y12" s="71"/>
    </row>
    <row r="13" spans="1:25" ht="38.25" customHeight="1" x14ac:dyDescent="0.2">
      <c r="A13" s="66" t="s">
        <v>598</v>
      </c>
      <c r="B13" s="66" t="s">
        <v>352</v>
      </c>
      <c r="C13" s="67">
        <v>2022</v>
      </c>
      <c r="D13" s="67">
        <v>2022</v>
      </c>
      <c r="E13" s="67" t="s">
        <v>363</v>
      </c>
      <c r="F13" s="67" t="s">
        <v>353</v>
      </c>
      <c r="G13" s="67" t="s">
        <v>363</v>
      </c>
      <c r="H13" s="67" t="s">
        <v>363</v>
      </c>
      <c r="I13" s="67" t="s">
        <v>355</v>
      </c>
      <c r="J13" s="68" t="s">
        <v>364</v>
      </c>
      <c r="K13" s="67" t="s">
        <v>373</v>
      </c>
      <c r="L13" s="68" t="s">
        <v>374</v>
      </c>
      <c r="M13" s="68">
        <v>1</v>
      </c>
      <c r="N13" s="67" t="s">
        <v>1150</v>
      </c>
      <c r="O13" s="68">
        <v>1</v>
      </c>
      <c r="P13" s="68" t="s">
        <v>353</v>
      </c>
      <c r="Q13" s="148">
        <f>'SP SERVIZI 22-23 '!G80</f>
        <v>1081.93</v>
      </c>
      <c r="R13" s="65">
        <v>1081.93</v>
      </c>
      <c r="S13" s="65"/>
      <c r="T13" s="65"/>
      <c r="U13" s="65"/>
      <c r="V13" s="67"/>
      <c r="W13" s="671" t="s">
        <v>359</v>
      </c>
      <c r="X13" s="671" t="s">
        <v>1148</v>
      </c>
      <c r="Y13" s="71"/>
    </row>
    <row r="14" spans="1:25" ht="38.25" customHeight="1" x14ac:dyDescent="0.2">
      <c r="A14" s="66" t="s">
        <v>599</v>
      </c>
      <c r="B14" s="66" t="s">
        <v>352</v>
      </c>
      <c r="C14" s="67">
        <v>2022</v>
      </c>
      <c r="D14" s="67">
        <v>2022</v>
      </c>
      <c r="E14" s="67" t="s">
        <v>353</v>
      </c>
      <c r="F14" s="67" t="s">
        <v>354</v>
      </c>
      <c r="G14" s="67" t="s">
        <v>353</v>
      </c>
      <c r="H14" s="67" t="s">
        <v>354</v>
      </c>
      <c r="I14" s="67" t="s">
        <v>355</v>
      </c>
      <c r="J14" s="68" t="s">
        <v>356</v>
      </c>
      <c r="K14" s="67" t="s">
        <v>357</v>
      </c>
      <c r="L14" s="68" t="s">
        <v>358</v>
      </c>
      <c r="M14" s="68">
        <v>1</v>
      </c>
      <c r="N14" s="67" t="s">
        <v>1151</v>
      </c>
      <c r="O14" s="68">
        <v>1</v>
      </c>
      <c r="P14" s="68" t="s">
        <v>353</v>
      </c>
      <c r="Q14" s="148">
        <f>'SP SERVIZI 22-23 '!G81</f>
        <v>7512</v>
      </c>
      <c r="R14" s="65">
        <v>7512</v>
      </c>
      <c r="S14" s="65"/>
      <c r="T14" s="65"/>
      <c r="U14" s="65"/>
      <c r="V14" s="67"/>
      <c r="W14" s="671" t="s">
        <v>359</v>
      </c>
      <c r="X14" s="671" t="s">
        <v>1148</v>
      </c>
      <c r="Y14" s="71"/>
    </row>
    <row r="15" spans="1:25" ht="38.25" customHeight="1" x14ac:dyDescent="0.25">
      <c r="A15" s="66" t="s">
        <v>600</v>
      </c>
      <c r="B15" s="66" t="s">
        <v>573</v>
      </c>
      <c r="C15" s="67">
        <v>2022</v>
      </c>
      <c r="D15" s="67">
        <v>2022</v>
      </c>
      <c r="E15" s="67" t="s">
        <v>363</v>
      </c>
      <c r="F15" s="67"/>
      <c r="G15" s="67"/>
      <c r="H15" s="67"/>
      <c r="I15" s="67"/>
      <c r="J15" s="68" t="s">
        <v>361</v>
      </c>
      <c r="K15" t="s">
        <v>597</v>
      </c>
      <c r="L15" s="68" t="s">
        <v>500</v>
      </c>
      <c r="M15" s="68">
        <v>1</v>
      </c>
      <c r="N15" s="67" t="s">
        <v>1150</v>
      </c>
      <c r="O15" s="68">
        <v>1</v>
      </c>
      <c r="P15" s="68" t="s">
        <v>353</v>
      </c>
      <c r="Q15" s="148">
        <f>'SP SERVIZI 22-23 '!G82</f>
        <v>2030.02</v>
      </c>
      <c r="R15" s="65">
        <v>2030.02</v>
      </c>
      <c r="S15" s="65"/>
      <c r="T15" s="65"/>
      <c r="U15" s="65"/>
      <c r="V15" s="67"/>
      <c r="W15" s="671" t="s">
        <v>359</v>
      </c>
      <c r="X15" s="671" t="s">
        <v>1148</v>
      </c>
      <c r="Y15" s="71"/>
    </row>
    <row r="16" spans="1:25" ht="38.25" customHeight="1" x14ac:dyDescent="0.2">
      <c r="A16" s="66" t="s">
        <v>603</v>
      </c>
      <c r="B16" s="66" t="s">
        <v>352</v>
      </c>
      <c r="C16" s="67">
        <v>2022</v>
      </c>
      <c r="D16" s="67">
        <v>2022</v>
      </c>
      <c r="E16" s="67" t="s">
        <v>363</v>
      </c>
      <c r="F16" s="67" t="s">
        <v>353</v>
      </c>
      <c r="G16" s="67" t="s">
        <v>363</v>
      </c>
      <c r="H16" s="67" t="s">
        <v>363</v>
      </c>
      <c r="I16" s="72" t="s">
        <v>355</v>
      </c>
      <c r="J16" s="73" t="s">
        <v>364</v>
      </c>
      <c r="K16" s="67" t="s">
        <v>368</v>
      </c>
      <c r="L16" s="68" t="s">
        <v>369</v>
      </c>
      <c r="M16" s="68">
        <v>1</v>
      </c>
      <c r="N16" s="67" t="s">
        <v>1151</v>
      </c>
      <c r="O16" s="68">
        <v>1</v>
      </c>
      <c r="P16" s="68" t="s">
        <v>1113</v>
      </c>
      <c r="Q16" s="148">
        <f>'SP SERVIZI 22-23 '!G83</f>
        <v>3638.85</v>
      </c>
      <c r="R16" s="65">
        <v>3638.85</v>
      </c>
      <c r="S16" s="65"/>
      <c r="T16" s="65"/>
      <c r="U16" s="65"/>
      <c r="V16" s="67"/>
      <c r="W16" s="74"/>
      <c r="X16" s="671" t="s">
        <v>1149</v>
      </c>
      <c r="Y16" s="71"/>
    </row>
    <row r="17" spans="1:25" ht="38.25" customHeight="1" x14ac:dyDescent="0.2">
      <c r="A17" s="66" t="s">
        <v>604</v>
      </c>
      <c r="B17" s="66" t="s">
        <v>352</v>
      </c>
      <c r="C17" s="67">
        <v>2022</v>
      </c>
      <c r="D17" s="67">
        <v>2022</v>
      </c>
      <c r="E17" s="67" t="s">
        <v>363</v>
      </c>
      <c r="F17" s="67" t="s">
        <v>363</v>
      </c>
      <c r="G17" s="67" t="s">
        <v>363</v>
      </c>
      <c r="H17" s="67" t="s">
        <v>363</v>
      </c>
      <c r="I17" s="67" t="s">
        <v>355</v>
      </c>
      <c r="J17" s="68" t="s">
        <v>399</v>
      </c>
      <c r="K17" s="67" t="s">
        <v>400</v>
      </c>
      <c r="L17" s="68" t="s">
        <v>401</v>
      </c>
      <c r="M17" s="68">
        <v>1</v>
      </c>
      <c r="N17" s="67" t="s">
        <v>1152</v>
      </c>
      <c r="O17" s="68">
        <v>1</v>
      </c>
      <c r="P17" s="68" t="s">
        <v>1113</v>
      </c>
      <c r="Q17" s="148">
        <f>'SP SERVIZI 22-23 '!G85</f>
        <v>328543.58</v>
      </c>
      <c r="R17" s="65">
        <v>328543.58</v>
      </c>
      <c r="S17" s="65"/>
      <c r="T17" s="65"/>
      <c r="U17" s="65"/>
      <c r="V17" s="67"/>
      <c r="W17" s="671"/>
      <c r="X17" s="671" t="s">
        <v>1149</v>
      </c>
      <c r="Y17" s="71"/>
    </row>
    <row r="18" spans="1:25" ht="38.25" customHeight="1" x14ac:dyDescent="0.2">
      <c r="A18" s="66" t="s">
        <v>605</v>
      </c>
      <c r="B18" s="66" t="s">
        <v>352</v>
      </c>
      <c r="C18" s="67">
        <v>2022</v>
      </c>
      <c r="D18" s="67">
        <v>2022</v>
      </c>
      <c r="E18" s="67" t="s">
        <v>363</v>
      </c>
      <c r="F18" s="67" t="s">
        <v>363</v>
      </c>
      <c r="G18" s="67" t="s">
        <v>363</v>
      </c>
      <c r="H18" s="67" t="s">
        <v>363</v>
      </c>
      <c r="I18" s="67" t="s">
        <v>355</v>
      </c>
      <c r="J18" s="68" t="s">
        <v>406</v>
      </c>
      <c r="K18" s="67" t="s">
        <v>422</v>
      </c>
      <c r="L18" s="68" t="s">
        <v>502</v>
      </c>
      <c r="M18" s="68">
        <v>1</v>
      </c>
      <c r="N18" s="67" t="s">
        <v>1151</v>
      </c>
      <c r="O18" s="68">
        <v>1</v>
      </c>
      <c r="P18" s="68" t="s">
        <v>1113</v>
      </c>
      <c r="Q18" s="148">
        <f>'SP SERVIZI 22-23 '!M87</f>
        <v>24044.79</v>
      </c>
      <c r="R18" s="65">
        <v>24044.79</v>
      </c>
      <c r="S18" s="65"/>
      <c r="T18" s="65"/>
      <c r="U18" s="65"/>
      <c r="V18" s="67"/>
      <c r="W18" s="671" t="s">
        <v>359</v>
      </c>
      <c r="X18" s="671" t="s">
        <v>1148</v>
      </c>
      <c r="Y18" s="71"/>
    </row>
    <row r="19" spans="1:25" ht="38.25" customHeight="1" x14ac:dyDescent="0.2">
      <c r="A19" s="66" t="s">
        <v>606</v>
      </c>
      <c r="B19" s="66" t="s">
        <v>352</v>
      </c>
      <c r="C19" s="67">
        <v>2022</v>
      </c>
      <c r="D19" s="67">
        <v>2022</v>
      </c>
      <c r="E19" s="67" t="s">
        <v>363</v>
      </c>
      <c r="F19" s="67" t="s">
        <v>363</v>
      </c>
      <c r="G19" s="67" t="s">
        <v>363</v>
      </c>
      <c r="H19" s="67" t="s">
        <v>363</v>
      </c>
      <c r="I19" s="67" t="s">
        <v>355</v>
      </c>
      <c r="J19" s="68" t="s">
        <v>399</v>
      </c>
      <c r="K19" s="67" t="s">
        <v>403</v>
      </c>
      <c r="L19" s="68" t="s">
        <v>404</v>
      </c>
      <c r="M19" s="68">
        <v>1</v>
      </c>
      <c r="N19" s="67" t="s">
        <v>1152</v>
      </c>
      <c r="O19" s="68">
        <v>1</v>
      </c>
      <c r="P19" s="68" t="s">
        <v>1113</v>
      </c>
      <c r="Q19" s="148">
        <f>'SP SERVIZI 22-23 '!G89</f>
        <v>9278.51</v>
      </c>
      <c r="R19" s="65">
        <v>9278.51</v>
      </c>
      <c r="S19" s="65"/>
      <c r="T19" s="65"/>
      <c r="U19" s="65"/>
      <c r="V19" s="67"/>
      <c r="W19" s="671"/>
      <c r="X19" s="671" t="s">
        <v>1149</v>
      </c>
      <c r="Y19" s="71"/>
    </row>
    <row r="20" spans="1:25" ht="38.25" customHeight="1" x14ac:dyDescent="0.2">
      <c r="A20" s="66" t="s">
        <v>607</v>
      </c>
      <c r="B20" s="66" t="s">
        <v>352</v>
      </c>
      <c r="C20" s="67">
        <v>2022</v>
      </c>
      <c r="D20" s="67">
        <v>2022</v>
      </c>
      <c r="E20" s="67" t="s">
        <v>363</v>
      </c>
      <c r="F20" s="67" t="s">
        <v>363</v>
      </c>
      <c r="G20" s="67" t="s">
        <v>363</v>
      </c>
      <c r="H20" s="67" t="s">
        <v>363</v>
      </c>
      <c r="I20" s="67" t="s">
        <v>355</v>
      </c>
      <c r="J20" s="68" t="s">
        <v>356</v>
      </c>
      <c r="K20" s="67" t="s">
        <v>392</v>
      </c>
      <c r="L20" s="68" t="s">
        <v>393</v>
      </c>
      <c r="M20" s="68">
        <v>1</v>
      </c>
      <c r="N20" s="67" t="s">
        <v>1152</v>
      </c>
      <c r="O20" s="68">
        <v>1</v>
      </c>
      <c r="P20" s="68" t="s">
        <v>1113</v>
      </c>
      <c r="Q20" s="148">
        <f>'SP SERVIZI 22-23 '!G90</f>
        <v>23464.16</v>
      </c>
      <c r="R20" s="65">
        <v>23464.16</v>
      </c>
      <c r="S20" s="65"/>
      <c r="T20" s="65"/>
      <c r="U20" s="65"/>
      <c r="V20" s="67"/>
      <c r="W20" s="671" t="s">
        <v>359</v>
      </c>
      <c r="X20" s="671" t="s">
        <v>1148</v>
      </c>
      <c r="Y20" s="71"/>
    </row>
    <row r="21" spans="1:25" ht="149.25" customHeight="1" x14ac:dyDescent="0.2">
      <c r="A21" s="66" t="s">
        <v>608</v>
      </c>
      <c r="B21" s="66" t="s">
        <v>352</v>
      </c>
      <c r="C21" s="67">
        <v>2022</v>
      </c>
      <c r="D21" s="67">
        <v>2022</v>
      </c>
      <c r="E21" s="67" t="s">
        <v>353</v>
      </c>
      <c r="F21" s="67"/>
      <c r="G21" s="67"/>
      <c r="H21" s="67"/>
      <c r="I21" s="67"/>
      <c r="J21" s="68"/>
      <c r="K21" s="67" t="s">
        <v>380</v>
      </c>
      <c r="L21" s="68" t="s">
        <v>503</v>
      </c>
      <c r="M21" s="68">
        <v>1</v>
      </c>
      <c r="N21" s="67" t="s">
        <v>1151</v>
      </c>
      <c r="O21" s="68">
        <v>1</v>
      </c>
      <c r="P21" s="68" t="s">
        <v>1113</v>
      </c>
      <c r="Q21" s="148">
        <f>'SP SERVIZI 22-23 '!M98</f>
        <v>534020.05000000005</v>
      </c>
      <c r="R21" s="65">
        <v>534020.05000000005</v>
      </c>
      <c r="S21" s="65"/>
      <c r="T21" s="65"/>
      <c r="U21" s="65"/>
      <c r="V21" s="67"/>
      <c r="W21" s="671" t="s">
        <v>359</v>
      </c>
      <c r="X21" s="671" t="s">
        <v>1148</v>
      </c>
      <c r="Y21" s="71"/>
    </row>
    <row r="22" spans="1:25" ht="27.75" customHeight="1" x14ac:dyDescent="0.2">
      <c r="A22" s="66" t="s">
        <v>609</v>
      </c>
      <c r="B22" s="66" t="s">
        <v>352</v>
      </c>
      <c r="C22" s="67">
        <v>2022</v>
      </c>
      <c r="D22" s="67">
        <v>2022</v>
      </c>
      <c r="E22" s="67" t="s">
        <v>363</v>
      </c>
      <c r="F22" s="67" t="s">
        <v>363</v>
      </c>
      <c r="G22" s="67" t="s">
        <v>363</v>
      </c>
      <c r="H22" s="67" t="s">
        <v>363</v>
      </c>
      <c r="I22" s="67" t="s">
        <v>355</v>
      </c>
      <c r="J22" s="68" t="s">
        <v>406</v>
      </c>
      <c r="K22" s="67" t="s">
        <v>444</v>
      </c>
      <c r="L22" s="68" t="s">
        <v>445</v>
      </c>
      <c r="M22" s="68">
        <v>2</v>
      </c>
      <c r="N22" s="67" t="s">
        <v>1153</v>
      </c>
      <c r="O22" s="68">
        <v>1</v>
      </c>
      <c r="P22" s="68" t="s">
        <v>1113</v>
      </c>
      <c r="Q22" s="148">
        <f>'SP SERVIZI 22-23 '!M105</f>
        <v>54256.529999999992</v>
      </c>
      <c r="R22" s="65">
        <v>54256.529999999992</v>
      </c>
      <c r="S22" s="65"/>
      <c r="T22" s="65"/>
      <c r="U22" s="65"/>
      <c r="V22" s="67"/>
      <c r="W22" s="671" t="s">
        <v>359</v>
      </c>
      <c r="X22" s="671" t="s">
        <v>1148</v>
      </c>
      <c r="Y22" s="71"/>
    </row>
    <row r="23" spans="1:25" ht="68.25" customHeight="1" x14ac:dyDescent="0.2">
      <c r="A23" s="66" t="s">
        <v>610</v>
      </c>
      <c r="B23" s="66" t="s">
        <v>352</v>
      </c>
      <c r="C23" s="67">
        <v>2022</v>
      </c>
      <c r="D23" s="67">
        <v>2022</v>
      </c>
      <c r="E23" s="67" t="s">
        <v>363</v>
      </c>
      <c r="F23" s="67" t="s">
        <v>353</v>
      </c>
      <c r="G23" s="67" t="s">
        <v>363</v>
      </c>
      <c r="H23" s="67" t="s">
        <v>363</v>
      </c>
      <c r="I23" s="67" t="s">
        <v>355</v>
      </c>
      <c r="J23" s="68" t="s">
        <v>376</v>
      </c>
      <c r="K23" s="67" t="s">
        <v>377</v>
      </c>
      <c r="L23" s="68" t="s">
        <v>504</v>
      </c>
      <c r="M23" s="68">
        <v>1</v>
      </c>
      <c r="N23" s="67" t="s">
        <v>1151</v>
      </c>
      <c r="O23" s="68">
        <v>1</v>
      </c>
      <c r="P23" s="68" t="s">
        <v>1113</v>
      </c>
      <c r="Q23" s="148">
        <f>'SP SERVIZI 22-23 '!M119</f>
        <v>399661.38999999996</v>
      </c>
      <c r="R23" s="65">
        <v>399661.38999999996</v>
      </c>
      <c r="S23" s="65"/>
      <c r="T23" s="65"/>
      <c r="U23" s="65"/>
      <c r="V23" s="67"/>
      <c r="W23" s="671" t="s">
        <v>359</v>
      </c>
      <c r="X23" s="671" t="s">
        <v>1148</v>
      </c>
      <c r="Y23" s="71"/>
    </row>
    <row r="24" spans="1:25" ht="68.25" customHeight="1" x14ac:dyDescent="0.2">
      <c r="A24" s="66" t="s">
        <v>611</v>
      </c>
      <c r="B24" s="66" t="s">
        <v>352</v>
      </c>
      <c r="C24" s="67">
        <v>2022</v>
      </c>
      <c r="D24" s="67">
        <v>2022</v>
      </c>
      <c r="E24" s="67" t="s">
        <v>353</v>
      </c>
      <c r="F24" s="67"/>
      <c r="G24" s="67"/>
      <c r="H24" s="67"/>
      <c r="I24" s="67"/>
      <c r="J24" s="68"/>
      <c r="K24" s="67" t="s">
        <v>377</v>
      </c>
      <c r="L24" s="68" t="s">
        <v>505</v>
      </c>
      <c r="M24" s="68">
        <v>1</v>
      </c>
      <c r="N24" s="67" t="s">
        <v>1153</v>
      </c>
      <c r="O24" s="68">
        <v>1</v>
      </c>
      <c r="P24" s="68" t="s">
        <v>1113</v>
      </c>
      <c r="Q24" s="148">
        <f>'SP SERVIZI 22-23 '!M127</f>
        <v>41759</v>
      </c>
      <c r="R24" s="65">
        <v>41759</v>
      </c>
      <c r="S24" s="65"/>
      <c r="T24" s="65"/>
      <c r="U24" s="65"/>
      <c r="V24" s="67"/>
      <c r="W24" s="671" t="s">
        <v>359</v>
      </c>
      <c r="X24" s="671" t="s">
        <v>1148</v>
      </c>
      <c r="Y24" s="71"/>
    </row>
    <row r="25" spans="1:25" ht="38.25" customHeight="1" x14ac:dyDescent="0.2">
      <c r="A25" s="66" t="s">
        <v>612</v>
      </c>
      <c r="B25" s="66" t="s">
        <v>352</v>
      </c>
      <c r="C25" s="67">
        <v>2022</v>
      </c>
      <c r="D25" s="67">
        <v>2022</v>
      </c>
      <c r="E25" s="67" t="s">
        <v>363</v>
      </c>
      <c r="F25" s="67" t="s">
        <v>363</v>
      </c>
      <c r="G25" s="67" t="s">
        <v>363</v>
      </c>
      <c r="H25" s="67" t="s">
        <v>363</v>
      </c>
      <c r="I25" s="67" t="s">
        <v>355</v>
      </c>
      <c r="J25" s="68" t="s">
        <v>376</v>
      </c>
      <c r="K25" s="67" t="s">
        <v>385</v>
      </c>
      <c r="L25" s="68" t="s">
        <v>386</v>
      </c>
      <c r="M25" s="68">
        <v>1</v>
      </c>
      <c r="N25" s="67" t="s">
        <v>1150</v>
      </c>
      <c r="O25" s="68">
        <v>1</v>
      </c>
      <c r="P25" s="68" t="s">
        <v>353</v>
      </c>
      <c r="Q25" s="148">
        <f>'SP SERVIZI 22-23 '!M154</f>
        <v>123790.54</v>
      </c>
      <c r="R25" s="65">
        <v>123790.54</v>
      </c>
      <c r="S25" s="65"/>
      <c r="T25" s="65"/>
      <c r="U25" s="65"/>
      <c r="V25" s="67"/>
      <c r="W25" s="671" t="s">
        <v>359</v>
      </c>
      <c r="X25" s="671" t="s">
        <v>1148</v>
      </c>
      <c r="Y25" s="71"/>
    </row>
    <row r="26" spans="1:25" ht="38.25" customHeight="1" x14ac:dyDescent="0.2">
      <c r="A26" s="66" t="s">
        <v>613</v>
      </c>
      <c r="B26" s="66" t="s">
        <v>352</v>
      </c>
      <c r="C26" s="67">
        <v>2022</v>
      </c>
      <c r="D26" s="67">
        <v>2022</v>
      </c>
      <c r="E26" s="67" t="s">
        <v>363</v>
      </c>
      <c r="F26" s="67" t="s">
        <v>363</v>
      </c>
      <c r="G26" s="67" t="s">
        <v>363</v>
      </c>
      <c r="H26" s="67" t="s">
        <v>363</v>
      </c>
      <c r="I26" s="67" t="s">
        <v>355</v>
      </c>
      <c r="J26" s="68" t="s">
        <v>376</v>
      </c>
      <c r="K26" s="67" t="s">
        <v>382</v>
      </c>
      <c r="L26" s="68" t="s">
        <v>383</v>
      </c>
      <c r="M26" s="68">
        <v>1</v>
      </c>
      <c r="N26" s="67" t="s">
        <v>1151</v>
      </c>
      <c r="O26" s="68">
        <v>1</v>
      </c>
      <c r="P26" s="68" t="s">
        <v>353</v>
      </c>
      <c r="Q26" s="148">
        <f>'SP SERVIZI 22-23 '!G155</f>
        <v>25000</v>
      </c>
      <c r="R26" s="65">
        <v>25000</v>
      </c>
      <c r="S26" s="65"/>
      <c r="T26" s="65"/>
      <c r="U26" s="65"/>
      <c r="V26" s="67"/>
      <c r="W26" s="671" t="s">
        <v>359</v>
      </c>
      <c r="X26" s="671" t="s">
        <v>1148</v>
      </c>
      <c r="Y26" s="71"/>
    </row>
    <row r="27" spans="1:25" ht="38.25" customHeight="1" x14ac:dyDescent="0.2">
      <c r="A27" s="66" t="s">
        <v>614</v>
      </c>
      <c r="B27" s="66" t="s">
        <v>352</v>
      </c>
      <c r="C27" s="67">
        <v>2022</v>
      </c>
      <c r="D27" s="67">
        <v>2022</v>
      </c>
      <c r="E27" s="67" t="s">
        <v>363</v>
      </c>
      <c r="F27" s="67" t="s">
        <v>363</v>
      </c>
      <c r="G27" s="67" t="s">
        <v>363</v>
      </c>
      <c r="H27" s="67" t="s">
        <v>363</v>
      </c>
      <c r="I27" s="67" t="s">
        <v>355</v>
      </c>
      <c r="J27" s="68" t="s">
        <v>406</v>
      </c>
      <c r="K27" s="67" t="s">
        <v>413</v>
      </c>
      <c r="L27" s="68" t="s">
        <v>414</v>
      </c>
      <c r="M27" s="68">
        <v>1</v>
      </c>
      <c r="N27" s="67" t="s">
        <v>1151</v>
      </c>
      <c r="O27" s="68">
        <v>1</v>
      </c>
      <c r="P27" s="68" t="s">
        <v>1113</v>
      </c>
      <c r="Q27" s="148">
        <f>'SP SERVIZI 22-23 '!G156</f>
        <v>71316</v>
      </c>
      <c r="R27" s="65">
        <v>71316</v>
      </c>
      <c r="S27" s="65"/>
      <c r="T27" s="65"/>
      <c r="U27" s="65"/>
      <c r="V27" s="67"/>
      <c r="W27" s="671" t="s">
        <v>359</v>
      </c>
      <c r="X27" s="671" t="s">
        <v>1148</v>
      </c>
      <c r="Y27" s="71"/>
    </row>
    <row r="28" spans="1:25" ht="38.25" customHeight="1" x14ac:dyDescent="0.2">
      <c r="A28" s="66" t="s">
        <v>615</v>
      </c>
      <c r="B28" s="66" t="s">
        <v>352</v>
      </c>
      <c r="C28" s="67">
        <v>2022</v>
      </c>
      <c r="D28" s="67">
        <v>2022</v>
      </c>
      <c r="E28" s="67" t="s">
        <v>363</v>
      </c>
      <c r="F28" s="67" t="s">
        <v>363</v>
      </c>
      <c r="G28" s="67" t="s">
        <v>363</v>
      </c>
      <c r="H28" s="67" t="s">
        <v>363</v>
      </c>
      <c r="I28" s="67" t="s">
        <v>355</v>
      </c>
      <c r="J28" s="68" t="s">
        <v>406</v>
      </c>
      <c r="K28" s="67" t="s">
        <v>428</v>
      </c>
      <c r="L28" s="68" t="s">
        <v>429</v>
      </c>
      <c r="M28" s="68">
        <v>1</v>
      </c>
      <c r="N28" s="67" t="s">
        <v>1151</v>
      </c>
      <c r="O28" s="68">
        <v>1</v>
      </c>
      <c r="P28" s="68" t="s">
        <v>353</v>
      </c>
      <c r="Q28" s="148">
        <f>'SP SERVIZI 22-23 '!G157</f>
        <v>960</v>
      </c>
      <c r="R28" s="65">
        <v>960</v>
      </c>
      <c r="S28" s="65"/>
      <c r="T28" s="65"/>
      <c r="U28" s="65"/>
      <c r="V28" s="67"/>
      <c r="W28" s="671" t="s">
        <v>359</v>
      </c>
      <c r="X28" s="671" t="s">
        <v>1148</v>
      </c>
      <c r="Y28" s="71"/>
    </row>
    <row r="29" spans="1:25" ht="38.25" customHeight="1" x14ac:dyDescent="0.2">
      <c r="A29" s="66" t="s">
        <v>616</v>
      </c>
      <c r="B29" s="66" t="s">
        <v>352</v>
      </c>
      <c r="C29" s="67">
        <v>2022</v>
      </c>
      <c r="D29" s="67">
        <v>2022</v>
      </c>
      <c r="E29" s="67" t="s">
        <v>363</v>
      </c>
      <c r="F29" s="67" t="s">
        <v>363</v>
      </c>
      <c r="G29" s="67" t="s">
        <v>363</v>
      </c>
      <c r="H29" s="67" t="s">
        <v>363</v>
      </c>
      <c r="I29" s="67" t="s">
        <v>355</v>
      </c>
      <c r="J29" s="68" t="s">
        <v>406</v>
      </c>
      <c r="K29" s="67" t="s">
        <v>419</v>
      </c>
      <c r="L29" s="68" t="s">
        <v>420</v>
      </c>
      <c r="M29" s="68">
        <v>1</v>
      </c>
      <c r="N29" s="67" t="s">
        <v>1152</v>
      </c>
      <c r="O29" s="68">
        <v>1</v>
      </c>
      <c r="P29" s="68" t="s">
        <v>353</v>
      </c>
      <c r="Q29" s="148">
        <f>'SP SERVIZI 22-23 '!G158</f>
        <v>79.849999999999994</v>
      </c>
      <c r="R29" s="65">
        <v>79.849999999999994</v>
      </c>
      <c r="S29" s="65"/>
      <c r="T29" s="65"/>
      <c r="U29" s="65"/>
      <c r="V29" s="67"/>
      <c r="W29" s="671" t="s">
        <v>359</v>
      </c>
      <c r="X29" s="671" t="s">
        <v>1148</v>
      </c>
      <c r="Y29" s="71"/>
    </row>
    <row r="30" spans="1:25" ht="38.25" customHeight="1" x14ac:dyDescent="0.2">
      <c r="A30" s="66" t="s">
        <v>617</v>
      </c>
      <c r="B30" s="66" t="s">
        <v>352</v>
      </c>
      <c r="C30" s="67">
        <v>2022</v>
      </c>
      <c r="D30" s="67">
        <v>2022</v>
      </c>
      <c r="E30" s="67" t="s">
        <v>363</v>
      </c>
      <c r="F30" s="67" t="s">
        <v>363</v>
      </c>
      <c r="G30" s="67" t="s">
        <v>363</v>
      </c>
      <c r="H30" s="67" t="s">
        <v>363</v>
      </c>
      <c r="I30" s="67" t="s">
        <v>355</v>
      </c>
      <c r="J30" s="68" t="s">
        <v>406</v>
      </c>
      <c r="K30" s="67" t="s">
        <v>438</v>
      </c>
      <c r="L30" s="68" t="s">
        <v>439</v>
      </c>
      <c r="M30" s="68">
        <v>1</v>
      </c>
      <c r="N30" s="67" t="s">
        <v>1152</v>
      </c>
      <c r="O30" s="68">
        <v>1</v>
      </c>
      <c r="P30" s="68" t="s">
        <v>353</v>
      </c>
      <c r="Q30" s="148">
        <f>'SP SERVIZI 22-23 '!G159</f>
        <v>520</v>
      </c>
      <c r="R30" s="65">
        <v>0</v>
      </c>
      <c r="S30" s="65"/>
      <c r="T30" s="65"/>
      <c r="U30" s="65"/>
      <c r="V30" s="67"/>
      <c r="W30" s="671" t="s">
        <v>359</v>
      </c>
      <c r="X30" s="671" t="s">
        <v>1148</v>
      </c>
      <c r="Y30" s="71"/>
    </row>
    <row r="31" spans="1:25" ht="38.25" customHeight="1" x14ac:dyDescent="0.2">
      <c r="A31" s="66" t="s">
        <v>618</v>
      </c>
      <c r="B31" s="66" t="s">
        <v>352</v>
      </c>
      <c r="C31" s="67">
        <v>2022</v>
      </c>
      <c r="D31" s="67">
        <v>2022</v>
      </c>
      <c r="E31" s="67" t="s">
        <v>363</v>
      </c>
      <c r="F31" s="67" t="s">
        <v>363</v>
      </c>
      <c r="G31" s="67" t="s">
        <v>353</v>
      </c>
      <c r="H31" s="67" t="s">
        <v>363</v>
      </c>
      <c r="I31" s="67" t="s">
        <v>355</v>
      </c>
      <c r="J31" s="68" t="s">
        <v>376</v>
      </c>
      <c r="K31" s="67" t="s">
        <v>379</v>
      </c>
      <c r="L31" s="68" t="s">
        <v>321</v>
      </c>
      <c r="M31" s="68">
        <v>1</v>
      </c>
      <c r="N31" s="67" t="s">
        <v>1152</v>
      </c>
      <c r="O31" s="68">
        <v>1</v>
      </c>
      <c r="P31" s="68" t="s">
        <v>353</v>
      </c>
      <c r="Q31" s="148">
        <f>'SP SERVIZI 22-23 '!G160</f>
        <v>1250</v>
      </c>
      <c r="R31" s="65">
        <v>0</v>
      </c>
      <c r="S31" s="65"/>
      <c r="T31" s="65"/>
      <c r="U31" s="65"/>
      <c r="V31" s="67"/>
      <c r="W31" s="671" t="s">
        <v>359</v>
      </c>
      <c r="X31" s="671" t="s">
        <v>1148</v>
      </c>
      <c r="Y31" s="71"/>
    </row>
    <row r="32" spans="1:25" ht="38.25" customHeight="1" x14ac:dyDescent="0.2">
      <c r="A32" s="66" t="s">
        <v>619</v>
      </c>
      <c r="B32" s="66" t="s">
        <v>352</v>
      </c>
      <c r="C32" s="67">
        <v>2022</v>
      </c>
      <c r="D32" s="67">
        <v>2022</v>
      </c>
      <c r="E32" s="67" t="s">
        <v>353</v>
      </c>
      <c r="F32" s="67"/>
      <c r="G32" s="67"/>
      <c r="H32" s="67"/>
      <c r="I32" s="67"/>
      <c r="J32" s="68"/>
      <c r="K32" s="681" t="s">
        <v>601</v>
      </c>
      <c r="L32" s="68" t="s">
        <v>322</v>
      </c>
      <c r="M32" s="68">
        <v>1</v>
      </c>
      <c r="N32" s="67" t="s">
        <v>1152</v>
      </c>
      <c r="O32" s="68">
        <v>1</v>
      </c>
      <c r="P32" s="68" t="s">
        <v>1113</v>
      </c>
      <c r="Q32" s="687">
        <v>2000</v>
      </c>
      <c r="R32" s="687">
        <v>2000</v>
      </c>
      <c r="S32" s="65"/>
      <c r="T32" s="65"/>
      <c r="U32" s="65"/>
      <c r="V32" s="67"/>
      <c r="W32" s="671" t="s">
        <v>359</v>
      </c>
      <c r="X32" s="671" t="s">
        <v>1148</v>
      </c>
      <c r="Y32" s="71"/>
    </row>
    <row r="33" spans="1:25" ht="38.25" customHeight="1" x14ac:dyDescent="0.2">
      <c r="A33" s="66" t="s">
        <v>620</v>
      </c>
      <c r="B33" s="66" t="s">
        <v>352</v>
      </c>
      <c r="C33" s="67">
        <v>2022</v>
      </c>
      <c r="D33" s="67">
        <v>2022</v>
      </c>
      <c r="E33" s="67" t="s">
        <v>363</v>
      </c>
      <c r="F33" s="67" t="s">
        <v>363</v>
      </c>
      <c r="G33" s="67" t="s">
        <v>363</v>
      </c>
      <c r="H33" s="67" t="s">
        <v>363</v>
      </c>
      <c r="I33" s="67" t="s">
        <v>355</v>
      </c>
      <c r="J33" s="68" t="s">
        <v>406</v>
      </c>
      <c r="K33" s="67" t="s">
        <v>434</v>
      </c>
      <c r="L33" s="68" t="s">
        <v>507</v>
      </c>
      <c r="M33" s="68">
        <v>1</v>
      </c>
      <c r="N33" s="67" t="s">
        <v>1153</v>
      </c>
      <c r="O33" s="68">
        <v>1</v>
      </c>
      <c r="P33" s="68" t="s">
        <v>1113</v>
      </c>
      <c r="Q33" s="148">
        <f>'SP SERVIZI 22-23 '!G162</f>
        <v>7094.05</v>
      </c>
      <c r="R33" s="65">
        <v>7094.05</v>
      </c>
      <c r="S33" s="65"/>
      <c r="T33" s="65"/>
      <c r="U33" s="65"/>
      <c r="V33" s="67"/>
      <c r="W33" s="671" t="s">
        <v>359</v>
      </c>
      <c r="X33" s="671" t="s">
        <v>1148</v>
      </c>
      <c r="Y33" s="71"/>
    </row>
    <row r="34" spans="1:25" ht="38.25" customHeight="1" x14ac:dyDescent="0.2">
      <c r="A34" s="66" t="s">
        <v>621</v>
      </c>
      <c r="B34" s="66" t="s">
        <v>352</v>
      </c>
      <c r="C34" s="67">
        <v>2022</v>
      </c>
      <c r="D34" s="67">
        <v>2022</v>
      </c>
      <c r="E34" s="67" t="s">
        <v>363</v>
      </c>
      <c r="F34" s="67"/>
      <c r="G34" s="67"/>
      <c r="H34" s="67"/>
      <c r="I34" s="67"/>
      <c r="J34" s="68"/>
      <c r="K34" s="681" t="s">
        <v>602</v>
      </c>
      <c r="L34" s="68" t="s">
        <v>508</v>
      </c>
      <c r="M34" s="68">
        <v>1</v>
      </c>
      <c r="N34" s="67" t="s">
        <v>1152</v>
      </c>
      <c r="O34" s="68">
        <v>1</v>
      </c>
      <c r="P34" s="68" t="s">
        <v>1113</v>
      </c>
      <c r="Q34" s="148">
        <f>'SP SERVIZI 22-23 '!G163</f>
        <v>9920</v>
      </c>
      <c r="R34" s="65">
        <v>9920</v>
      </c>
      <c r="S34" s="65"/>
      <c r="T34" s="65"/>
      <c r="U34" s="65"/>
      <c r="V34" s="67"/>
      <c r="W34" s="671" t="s">
        <v>359</v>
      </c>
      <c r="X34" s="671" t="s">
        <v>1148</v>
      </c>
      <c r="Y34" s="71"/>
    </row>
    <row r="35" spans="1:25" ht="38.25" customHeight="1" x14ac:dyDescent="0.2">
      <c r="A35" s="66" t="s">
        <v>622</v>
      </c>
      <c r="B35" s="66" t="s">
        <v>352</v>
      </c>
      <c r="C35" s="67">
        <v>2022</v>
      </c>
      <c r="D35" s="67">
        <v>2022</v>
      </c>
      <c r="E35" s="67" t="s">
        <v>363</v>
      </c>
      <c r="F35" s="67"/>
      <c r="G35" s="67"/>
      <c r="H35" s="67"/>
      <c r="I35" s="67"/>
      <c r="J35" s="68"/>
      <c r="K35" s="681" t="s">
        <v>602</v>
      </c>
      <c r="L35" s="68" t="s">
        <v>509</v>
      </c>
      <c r="M35" s="68">
        <v>1</v>
      </c>
      <c r="N35" s="67" t="s">
        <v>1152</v>
      </c>
      <c r="O35" s="68">
        <v>1</v>
      </c>
      <c r="P35" s="68" t="s">
        <v>1113</v>
      </c>
      <c r="Q35" s="148">
        <f>'SP SERVIZI 22-23 '!G164</f>
        <v>5200</v>
      </c>
      <c r="R35" s="65">
        <v>5200</v>
      </c>
      <c r="S35" s="65"/>
      <c r="T35" s="65"/>
      <c r="U35" s="65"/>
      <c r="V35" s="67"/>
      <c r="W35" s="671" t="s">
        <v>359</v>
      </c>
      <c r="X35" s="671" t="s">
        <v>1148</v>
      </c>
      <c r="Y35" s="71"/>
    </row>
    <row r="36" spans="1:25" ht="38.25" customHeight="1" x14ac:dyDescent="0.2">
      <c r="A36" s="66" t="s">
        <v>623</v>
      </c>
      <c r="B36" s="66" t="s">
        <v>352</v>
      </c>
      <c r="C36" s="67">
        <v>2022</v>
      </c>
      <c r="D36" s="67">
        <v>2022</v>
      </c>
      <c r="E36" s="67" t="s">
        <v>363</v>
      </c>
      <c r="F36" s="67"/>
      <c r="G36" s="67"/>
      <c r="H36" s="67"/>
      <c r="I36" s="67"/>
      <c r="J36" s="68"/>
      <c r="K36" s="681" t="s">
        <v>602</v>
      </c>
      <c r="L36" s="68" t="s">
        <v>323</v>
      </c>
      <c r="M36" s="68">
        <v>1</v>
      </c>
      <c r="N36" s="67" t="s">
        <v>1152</v>
      </c>
      <c r="O36" s="68">
        <v>1</v>
      </c>
      <c r="P36" s="68" t="s">
        <v>353</v>
      </c>
      <c r="Q36" s="148">
        <f>'SP SERVIZI 22-23 '!G165</f>
        <v>0</v>
      </c>
      <c r="R36" s="65">
        <v>0</v>
      </c>
      <c r="S36" s="65"/>
      <c r="T36" s="65"/>
      <c r="U36" s="65"/>
      <c r="V36" s="67"/>
      <c r="W36" s="671" t="s">
        <v>359</v>
      </c>
      <c r="X36" s="671" t="s">
        <v>1148</v>
      </c>
      <c r="Y36" s="71"/>
    </row>
    <row r="37" spans="1:25" ht="38.25" customHeight="1" x14ac:dyDescent="0.2">
      <c r="A37" s="66" t="s">
        <v>624</v>
      </c>
      <c r="B37" s="66" t="s">
        <v>352</v>
      </c>
      <c r="C37" s="67">
        <v>2022</v>
      </c>
      <c r="D37" s="67">
        <v>2022</v>
      </c>
      <c r="E37" s="67" t="s">
        <v>363</v>
      </c>
      <c r="F37" s="67" t="s">
        <v>363</v>
      </c>
      <c r="G37" s="67" t="s">
        <v>363</v>
      </c>
      <c r="H37" s="67" t="s">
        <v>363</v>
      </c>
      <c r="I37" s="67" t="s">
        <v>355</v>
      </c>
      <c r="J37" s="68" t="s">
        <v>406</v>
      </c>
      <c r="K37" s="67" t="s">
        <v>431</v>
      </c>
      <c r="L37" s="68" t="s">
        <v>432</v>
      </c>
      <c r="M37" s="68">
        <v>1</v>
      </c>
      <c r="N37" s="67" t="s">
        <v>1152</v>
      </c>
      <c r="O37" s="68">
        <v>1</v>
      </c>
      <c r="P37" s="68" t="s">
        <v>1113</v>
      </c>
      <c r="Q37" s="148">
        <f>'SP SERVIZI 22-23 '!G166</f>
        <v>3380</v>
      </c>
      <c r="R37" s="65">
        <v>3380</v>
      </c>
      <c r="S37" s="65"/>
      <c r="T37" s="65"/>
      <c r="U37" s="65"/>
      <c r="V37" s="67"/>
      <c r="W37" s="671" t="s">
        <v>359</v>
      </c>
      <c r="X37" s="671" t="s">
        <v>1148</v>
      </c>
      <c r="Y37" s="71"/>
    </row>
    <row r="38" spans="1:25" ht="38.25" customHeight="1" x14ac:dyDescent="0.2">
      <c r="A38" s="66" t="s">
        <v>625</v>
      </c>
      <c r="B38" s="66" t="s">
        <v>352</v>
      </c>
      <c r="C38" s="67">
        <v>2022</v>
      </c>
      <c r="D38" s="67">
        <v>2022</v>
      </c>
      <c r="E38" s="67" t="s">
        <v>354</v>
      </c>
      <c r="F38" s="67"/>
      <c r="G38" s="67"/>
      <c r="H38" s="67"/>
      <c r="I38" s="67"/>
      <c r="J38" s="68"/>
      <c r="K38" s="67" t="s">
        <v>379</v>
      </c>
      <c r="L38" s="68" t="s">
        <v>511</v>
      </c>
      <c r="M38" s="68">
        <v>1</v>
      </c>
      <c r="N38" s="67" t="s">
        <v>1152</v>
      </c>
      <c r="O38" s="68">
        <v>1</v>
      </c>
      <c r="P38" s="68" t="s">
        <v>353</v>
      </c>
      <c r="Q38" s="148">
        <f>'SP SERVIZI 22-23 '!G167</f>
        <v>1050.94</v>
      </c>
      <c r="R38" s="65">
        <v>1050.94</v>
      </c>
      <c r="S38" s="65"/>
      <c r="T38" s="65"/>
      <c r="U38" s="65"/>
      <c r="V38" s="67"/>
      <c r="W38" s="671" t="s">
        <v>359</v>
      </c>
      <c r="X38" s="671" t="s">
        <v>1148</v>
      </c>
      <c r="Y38" s="71"/>
    </row>
    <row r="39" spans="1:25" ht="38.25" customHeight="1" x14ac:dyDescent="0.2">
      <c r="A39" s="66" t="s">
        <v>626</v>
      </c>
      <c r="B39" s="66" t="s">
        <v>352</v>
      </c>
      <c r="C39" s="67">
        <v>2022</v>
      </c>
      <c r="D39" s="67">
        <v>2022</v>
      </c>
      <c r="E39" s="67" t="s">
        <v>363</v>
      </c>
      <c r="F39" s="67" t="s">
        <v>363</v>
      </c>
      <c r="G39" s="67" t="s">
        <v>363</v>
      </c>
      <c r="H39" s="67" t="s">
        <v>363</v>
      </c>
      <c r="I39" s="67" t="s">
        <v>355</v>
      </c>
      <c r="J39" s="68" t="s">
        <v>406</v>
      </c>
      <c r="K39" s="67" t="s">
        <v>407</v>
      </c>
      <c r="L39" s="68" t="s">
        <v>408</v>
      </c>
      <c r="M39" s="68">
        <v>1</v>
      </c>
      <c r="N39" s="67" t="s">
        <v>1152</v>
      </c>
      <c r="O39" s="68">
        <v>1</v>
      </c>
      <c r="P39" s="68" t="s">
        <v>353</v>
      </c>
      <c r="Q39" s="148">
        <f>'SP SERVIZI 22-23 '!M171</f>
        <v>6616.48</v>
      </c>
      <c r="R39" s="65">
        <v>5723.96</v>
      </c>
      <c r="S39" s="65"/>
      <c r="T39" s="65"/>
      <c r="U39" s="65"/>
      <c r="V39" s="67"/>
      <c r="W39" s="671" t="s">
        <v>359</v>
      </c>
      <c r="X39" s="671" t="s">
        <v>1148</v>
      </c>
      <c r="Y39" s="71"/>
    </row>
    <row r="40" spans="1:25" ht="38.25" customHeight="1" x14ac:dyDescent="0.2">
      <c r="A40" s="66" t="s">
        <v>627</v>
      </c>
      <c r="B40" s="66" t="s">
        <v>352</v>
      </c>
      <c r="C40" s="67">
        <v>2022</v>
      </c>
      <c r="D40" s="67">
        <v>2022</v>
      </c>
      <c r="E40" s="67" t="s">
        <v>363</v>
      </c>
      <c r="F40" s="67" t="s">
        <v>363</v>
      </c>
      <c r="G40" s="67" t="s">
        <v>363</v>
      </c>
      <c r="H40" s="67" t="s">
        <v>363</v>
      </c>
      <c r="I40" s="67" t="s">
        <v>355</v>
      </c>
      <c r="J40" s="68" t="s">
        <v>399</v>
      </c>
      <c r="K40" s="67" t="s">
        <v>441</v>
      </c>
      <c r="L40" s="68" t="s">
        <v>442</v>
      </c>
      <c r="M40" s="68">
        <v>2</v>
      </c>
      <c r="N40" s="67" t="s">
        <v>1152</v>
      </c>
      <c r="O40" s="68">
        <v>1</v>
      </c>
      <c r="P40" s="68" t="s">
        <v>1113</v>
      </c>
      <c r="Q40" s="148">
        <f>'SP SERVIZI 22-23 '!G172</f>
        <v>50000</v>
      </c>
      <c r="R40" s="65">
        <v>50000</v>
      </c>
      <c r="S40" s="65"/>
      <c r="T40" s="65"/>
      <c r="U40" s="65"/>
      <c r="V40" s="67"/>
      <c r="W40" s="671" t="s">
        <v>359</v>
      </c>
      <c r="X40" s="671" t="s">
        <v>1148</v>
      </c>
      <c r="Y40" s="71"/>
    </row>
    <row r="41" spans="1:25" ht="38.25" customHeight="1" x14ac:dyDescent="0.2">
      <c r="A41" s="66" t="s">
        <v>628</v>
      </c>
      <c r="B41" s="66" t="s">
        <v>352</v>
      </c>
      <c r="C41" s="67">
        <v>2022</v>
      </c>
      <c r="D41" s="67">
        <v>2022</v>
      </c>
      <c r="E41" s="67" t="s">
        <v>363</v>
      </c>
      <c r="F41" s="67" t="s">
        <v>363</v>
      </c>
      <c r="G41" s="67" t="s">
        <v>363</v>
      </c>
      <c r="H41" s="67" t="s">
        <v>363</v>
      </c>
      <c r="I41" s="67" t="s">
        <v>355</v>
      </c>
      <c r="J41" s="68" t="s">
        <v>406</v>
      </c>
      <c r="K41" s="67" t="s">
        <v>410</v>
      </c>
      <c r="L41" s="68" t="s">
        <v>411</v>
      </c>
      <c r="M41" s="68">
        <v>1</v>
      </c>
      <c r="N41" s="67" t="s">
        <v>1152</v>
      </c>
      <c r="O41" s="68">
        <v>1</v>
      </c>
      <c r="P41" s="68" t="s">
        <v>1113</v>
      </c>
      <c r="Q41" s="148">
        <f>'SP SERVIZI 22-23 '!G173</f>
        <v>698.36</v>
      </c>
      <c r="R41" s="65">
        <v>698.36</v>
      </c>
      <c r="S41" s="65"/>
      <c r="T41" s="65"/>
      <c r="U41" s="65"/>
      <c r="V41" s="67"/>
      <c r="W41" s="671" t="s">
        <v>359</v>
      </c>
      <c r="X41" s="671" t="s">
        <v>1148</v>
      </c>
      <c r="Y41" s="71"/>
    </row>
    <row r="42" spans="1:25" ht="38.25" customHeight="1" x14ac:dyDescent="0.2">
      <c r="A42" s="66" t="s">
        <v>629</v>
      </c>
      <c r="B42" s="66" t="s">
        <v>352</v>
      </c>
      <c r="C42" s="67">
        <v>2022</v>
      </c>
      <c r="D42" s="67">
        <v>2022</v>
      </c>
      <c r="E42" s="67" t="s">
        <v>363</v>
      </c>
      <c r="F42" s="67" t="s">
        <v>363</v>
      </c>
      <c r="G42" s="67" t="s">
        <v>363</v>
      </c>
      <c r="H42" s="67" t="s">
        <v>363</v>
      </c>
      <c r="I42" s="67" t="s">
        <v>355</v>
      </c>
      <c r="J42" s="68" t="s">
        <v>376</v>
      </c>
      <c r="K42" s="67" t="s">
        <v>389</v>
      </c>
      <c r="L42" s="68" t="s">
        <v>390</v>
      </c>
      <c r="M42" s="68">
        <v>1</v>
      </c>
      <c r="N42" s="67" t="s">
        <v>1152</v>
      </c>
      <c r="O42" s="68">
        <v>1</v>
      </c>
      <c r="P42" s="68" t="s">
        <v>353</v>
      </c>
      <c r="Q42" s="148">
        <f>'SP SERVIZI 22-23 '!G174</f>
        <v>0</v>
      </c>
      <c r="R42" s="65">
        <v>0</v>
      </c>
      <c r="S42" s="65"/>
      <c r="T42" s="65"/>
      <c r="U42" s="65"/>
      <c r="V42" s="67"/>
      <c r="W42" s="671" t="s">
        <v>359</v>
      </c>
      <c r="X42" s="671" t="s">
        <v>1148</v>
      </c>
      <c r="Y42" s="71"/>
    </row>
    <row r="43" spans="1:25" ht="38.25" customHeight="1" x14ac:dyDescent="0.2">
      <c r="A43" s="66" t="s">
        <v>630</v>
      </c>
      <c r="B43" s="66" t="s">
        <v>352</v>
      </c>
      <c r="C43" s="67">
        <v>2022</v>
      </c>
      <c r="D43" s="67">
        <v>2022</v>
      </c>
      <c r="E43" s="67" t="s">
        <v>363</v>
      </c>
      <c r="F43" s="67" t="s">
        <v>363</v>
      </c>
      <c r="G43" s="67" t="s">
        <v>363</v>
      </c>
      <c r="H43" s="67" t="s">
        <v>363</v>
      </c>
      <c r="I43" s="67" t="s">
        <v>355</v>
      </c>
      <c r="J43" s="68" t="s">
        <v>406</v>
      </c>
      <c r="K43" s="67" t="s">
        <v>416</v>
      </c>
      <c r="L43" s="68" t="s">
        <v>436</v>
      </c>
      <c r="M43" s="68">
        <v>1</v>
      </c>
      <c r="N43" s="67" t="s">
        <v>1152</v>
      </c>
      <c r="O43" s="68">
        <v>1</v>
      </c>
      <c r="P43" s="68" t="s">
        <v>353</v>
      </c>
      <c r="Q43" s="148">
        <f>'SP SERVIZI 22-23 '!G175</f>
        <v>1000</v>
      </c>
      <c r="R43" s="65">
        <v>1000</v>
      </c>
      <c r="S43" s="65"/>
      <c r="T43" s="65"/>
      <c r="U43" s="65"/>
      <c r="V43" s="67"/>
      <c r="W43" s="671" t="s">
        <v>359</v>
      </c>
      <c r="X43" s="671" t="s">
        <v>1148</v>
      </c>
      <c r="Y43" s="71"/>
    </row>
    <row r="44" spans="1:25" ht="38.25" customHeight="1" x14ac:dyDescent="0.2">
      <c r="A44" s="66" t="s">
        <v>631</v>
      </c>
      <c r="B44" s="66" t="s">
        <v>352</v>
      </c>
      <c r="C44" s="67">
        <v>2022</v>
      </c>
      <c r="D44" s="67">
        <v>2022</v>
      </c>
      <c r="E44" s="67" t="s">
        <v>363</v>
      </c>
      <c r="F44" s="67"/>
      <c r="G44" s="67"/>
      <c r="H44" s="67"/>
      <c r="I44" s="67"/>
      <c r="J44" s="68"/>
      <c r="K44" s="67" t="s">
        <v>416</v>
      </c>
      <c r="L44" s="68" t="s">
        <v>510</v>
      </c>
      <c r="M44" s="68">
        <v>1</v>
      </c>
      <c r="N44" s="67" t="s">
        <v>1152</v>
      </c>
      <c r="O44" s="68">
        <v>1</v>
      </c>
      <c r="P44" s="68" t="s">
        <v>353</v>
      </c>
      <c r="Q44" s="148">
        <f>'SP SERVIZI 22-23 '!G176</f>
        <v>9476.5600000000013</v>
      </c>
      <c r="R44" s="65">
        <v>9476.5600000000013</v>
      </c>
      <c r="S44" s="65"/>
      <c r="T44" s="65"/>
      <c r="U44" s="65"/>
      <c r="V44" s="67"/>
      <c r="W44" s="671" t="s">
        <v>359</v>
      </c>
      <c r="X44" s="671" t="s">
        <v>1148</v>
      </c>
      <c r="Y44" s="71"/>
    </row>
    <row r="45" spans="1:25" ht="38.25" customHeight="1" x14ac:dyDescent="0.2">
      <c r="A45" s="66" t="s">
        <v>632</v>
      </c>
      <c r="B45" s="66" t="s">
        <v>352</v>
      </c>
      <c r="C45" s="67">
        <v>2022</v>
      </c>
      <c r="D45" s="67">
        <v>2022</v>
      </c>
      <c r="E45" s="67" t="s">
        <v>363</v>
      </c>
      <c r="F45" s="67"/>
      <c r="G45" s="67"/>
      <c r="H45" s="67"/>
      <c r="I45" s="67"/>
      <c r="J45" s="68"/>
      <c r="K45" s="67" t="s">
        <v>416</v>
      </c>
      <c r="L45" s="68" t="s">
        <v>324</v>
      </c>
      <c r="M45" s="68">
        <v>1</v>
      </c>
      <c r="N45" s="67" t="s">
        <v>1152</v>
      </c>
      <c r="O45" s="68">
        <v>1</v>
      </c>
      <c r="P45" s="68" t="s">
        <v>353</v>
      </c>
      <c r="Q45" s="148">
        <f>'SP SERVIZI 22-23 '!G177</f>
        <v>1792</v>
      </c>
      <c r="R45" s="65">
        <v>1792</v>
      </c>
      <c r="S45" s="65"/>
      <c r="T45" s="65"/>
      <c r="U45" s="65"/>
      <c r="V45" s="67"/>
      <c r="W45" s="671" t="s">
        <v>359</v>
      </c>
      <c r="X45" s="671" t="s">
        <v>1148</v>
      </c>
      <c r="Y45" s="71"/>
    </row>
    <row r="46" spans="1:25" ht="38.25" customHeight="1" x14ac:dyDescent="0.2">
      <c r="A46" s="66" t="s">
        <v>633</v>
      </c>
      <c r="B46" s="66" t="s">
        <v>352</v>
      </c>
      <c r="C46" s="67">
        <v>2022</v>
      </c>
      <c r="D46" s="67">
        <v>2022</v>
      </c>
      <c r="E46" s="67" t="s">
        <v>363</v>
      </c>
      <c r="F46" s="67" t="s">
        <v>363</v>
      </c>
      <c r="G46" s="67" t="s">
        <v>363</v>
      </c>
      <c r="H46" s="67" t="s">
        <v>363</v>
      </c>
      <c r="I46" s="67" t="s">
        <v>355</v>
      </c>
      <c r="J46" s="68" t="s">
        <v>376</v>
      </c>
      <c r="K46" s="67" t="s">
        <v>380</v>
      </c>
      <c r="L46" s="68" t="s">
        <v>506</v>
      </c>
      <c r="M46" s="68">
        <v>1</v>
      </c>
      <c r="N46" s="67" t="s">
        <v>1152</v>
      </c>
      <c r="O46" s="68">
        <v>1</v>
      </c>
      <c r="P46" s="68" t="s">
        <v>353</v>
      </c>
      <c r="Q46" s="148">
        <f>'SP SERVIZI 22-23 '!M186</f>
        <v>102253.82</v>
      </c>
      <c r="R46" s="65">
        <v>102253.82</v>
      </c>
      <c r="S46" s="65"/>
      <c r="T46" s="65"/>
      <c r="U46" s="65"/>
      <c r="V46" s="67"/>
      <c r="W46" s="671" t="s">
        <v>359</v>
      </c>
      <c r="X46" s="671" t="s">
        <v>1148</v>
      </c>
      <c r="Y46" s="71"/>
    </row>
    <row r="47" spans="1:25" ht="38.25" customHeight="1" x14ac:dyDescent="0.2">
      <c r="A47" s="66" t="s">
        <v>634</v>
      </c>
      <c r="B47" s="66" t="s">
        <v>352</v>
      </c>
      <c r="C47" s="67">
        <v>2022</v>
      </c>
      <c r="D47" s="67">
        <v>2022</v>
      </c>
      <c r="E47" s="67" t="s">
        <v>363</v>
      </c>
      <c r="F47" s="67" t="s">
        <v>363</v>
      </c>
      <c r="G47" s="67" t="s">
        <v>363</v>
      </c>
      <c r="H47" s="67" t="s">
        <v>363</v>
      </c>
      <c r="I47" s="67" t="s">
        <v>355</v>
      </c>
      <c r="J47" s="68" t="s">
        <v>395</v>
      </c>
      <c r="K47" s="67" t="s">
        <v>396</v>
      </c>
      <c r="L47" s="68" t="s">
        <v>397</v>
      </c>
      <c r="M47" s="68">
        <v>1</v>
      </c>
      <c r="N47" s="67" t="s">
        <v>1152</v>
      </c>
      <c r="O47" s="68">
        <v>1</v>
      </c>
      <c r="P47" s="68" t="s">
        <v>353</v>
      </c>
      <c r="Q47" s="148">
        <v>0</v>
      </c>
      <c r="R47" s="65">
        <v>0</v>
      </c>
      <c r="S47" s="65"/>
      <c r="T47" s="65"/>
      <c r="U47" s="65"/>
      <c r="V47" s="67"/>
      <c r="W47" s="671" t="s">
        <v>359</v>
      </c>
      <c r="X47" s="671" t="s">
        <v>1148</v>
      </c>
      <c r="Y47" s="71"/>
    </row>
    <row r="48" spans="1:25" ht="38.25" customHeight="1" x14ac:dyDescent="0.2">
      <c r="A48" s="66" t="s">
        <v>635</v>
      </c>
      <c r="B48" s="66" t="s">
        <v>352</v>
      </c>
      <c r="C48" s="67">
        <v>2022</v>
      </c>
      <c r="D48" s="67">
        <v>2022</v>
      </c>
      <c r="E48" s="67" t="s">
        <v>363</v>
      </c>
      <c r="F48" s="67" t="s">
        <v>363</v>
      </c>
      <c r="G48" s="67" t="s">
        <v>363</v>
      </c>
      <c r="H48" s="67" t="s">
        <v>363</v>
      </c>
      <c r="I48" s="67" t="s">
        <v>355</v>
      </c>
      <c r="J48" s="68" t="s">
        <v>406</v>
      </c>
      <c r="K48" s="67" t="s">
        <v>416</v>
      </c>
      <c r="L48" s="75" t="s">
        <v>417</v>
      </c>
      <c r="M48" s="68">
        <v>1</v>
      </c>
      <c r="N48" s="67" t="s">
        <v>1152</v>
      </c>
      <c r="O48" s="68">
        <v>1</v>
      </c>
      <c r="P48" s="68" t="s">
        <v>353</v>
      </c>
      <c r="Q48" s="148">
        <v>0</v>
      </c>
      <c r="R48" s="65">
        <v>0</v>
      </c>
      <c r="S48" s="65"/>
      <c r="T48" s="65"/>
      <c r="U48" s="65"/>
      <c r="V48" s="67"/>
      <c r="W48" s="671" t="s">
        <v>359</v>
      </c>
      <c r="X48" s="671" t="s">
        <v>1148</v>
      </c>
      <c r="Y48" s="71"/>
    </row>
    <row r="49" spans="1:25" ht="38.25" customHeight="1" x14ac:dyDescent="0.2">
      <c r="A49" s="66" t="s">
        <v>636</v>
      </c>
      <c r="B49" s="66" t="s">
        <v>352</v>
      </c>
      <c r="C49" s="67">
        <v>2022</v>
      </c>
      <c r="D49" s="67">
        <v>2022</v>
      </c>
      <c r="E49" s="67" t="s">
        <v>363</v>
      </c>
      <c r="F49" s="67" t="s">
        <v>363</v>
      </c>
      <c r="G49" s="67" t="s">
        <v>363</v>
      </c>
      <c r="H49" s="67" t="s">
        <v>363</v>
      </c>
      <c r="I49" s="67" t="s">
        <v>355</v>
      </c>
      <c r="J49" s="68" t="s">
        <v>424</v>
      </c>
      <c r="K49" s="67" t="s">
        <v>425</v>
      </c>
      <c r="L49" s="68" t="s">
        <v>426</v>
      </c>
      <c r="M49" s="68">
        <v>1</v>
      </c>
      <c r="N49" s="67" t="s">
        <v>1152</v>
      </c>
      <c r="O49" s="68">
        <v>1</v>
      </c>
      <c r="P49" s="68" t="s">
        <v>353</v>
      </c>
      <c r="Q49" s="148">
        <v>0</v>
      </c>
      <c r="R49" s="65">
        <v>0</v>
      </c>
      <c r="S49" s="65"/>
      <c r="T49" s="65"/>
      <c r="U49" s="65"/>
      <c r="V49" s="67"/>
      <c r="W49" s="671" t="s">
        <v>359</v>
      </c>
      <c r="X49" s="671" t="s">
        <v>1148</v>
      </c>
      <c r="Y49" s="71"/>
    </row>
    <row r="50" spans="1:25" ht="38.25" customHeight="1" x14ac:dyDescent="0.25">
      <c r="A50" s="66" t="s">
        <v>637</v>
      </c>
      <c r="B50" s="66" t="s">
        <v>352</v>
      </c>
      <c r="C50" s="67">
        <v>2022</v>
      </c>
      <c r="D50" s="67">
        <v>2022</v>
      </c>
      <c r="E50" s="67" t="s">
        <v>363</v>
      </c>
      <c r="F50" s="118"/>
      <c r="G50" s="118"/>
      <c r="H50" s="118"/>
      <c r="I50" s="118"/>
      <c r="J50" s="119"/>
      <c r="K50" t="s">
        <v>592</v>
      </c>
      <c r="L50" s="68" t="s">
        <v>528</v>
      </c>
      <c r="M50" s="68">
        <v>1</v>
      </c>
      <c r="N50" s="118" t="s">
        <v>1151</v>
      </c>
      <c r="O50" s="68">
        <v>1</v>
      </c>
      <c r="P50" s="68" t="s">
        <v>353</v>
      </c>
      <c r="Q50" s="148">
        <f>'SP SERVIZI 22-23 '!G188</f>
        <v>4292.8100000000004</v>
      </c>
      <c r="R50" s="65">
        <v>4292.8100000000004</v>
      </c>
      <c r="S50" s="65"/>
      <c r="T50" s="65"/>
      <c r="U50" s="65"/>
      <c r="V50" s="67"/>
      <c r="W50" s="671" t="s">
        <v>359</v>
      </c>
      <c r="X50" s="671" t="s">
        <v>1148</v>
      </c>
      <c r="Y50" s="71"/>
    </row>
    <row r="51" spans="1:25" ht="38.25" customHeight="1" x14ac:dyDescent="0.25">
      <c r="A51" s="66" t="s">
        <v>638</v>
      </c>
      <c r="B51" s="66" t="s">
        <v>352</v>
      </c>
      <c r="C51" s="67">
        <v>2022</v>
      </c>
      <c r="D51" s="67">
        <v>2022</v>
      </c>
      <c r="E51" s="67" t="s">
        <v>363</v>
      </c>
      <c r="F51" s="67"/>
      <c r="G51" s="67"/>
      <c r="H51" s="67"/>
      <c r="I51" s="67"/>
      <c r="J51" s="68"/>
      <c r="K51" t="s">
        <v>593</v>
      </c>
      <c r="L51" s="68" t="s">
        <v>529</v>
      </c>
      <c r="M51" s="68">
        <v>1</v>
      </c>
      <c r="N51" s="67" t="s">
        <v>1151</v>
      </c>
      <c r="O51" s="68">
        <v>1</v>
      </c>
      <c r="P51" s="68" t="s">
        <v>1113</v>
      </c>
      <c r="Q51" s="148">
        <f>'SP SERVIZI 22-23 '!M191</f>
        <v>50028.83</v>
      </c>
      <c r="R51" s="65">
        <v>50028.83</v>
      </c>
      <c r="S51" s="65"/>
      <c r="T51" s="65"/>
      <c r="U51" s="65"/>
      <c r="V51" s="67"/>
      <c r="W51" s="671" t="s">
        <v>359</v>
      </c>
      <c r="X51" s="671" t="s">
        <v>1148</v>
      </c>
      <c r="Y51" s="71"/>
    </row>
    <row r="52" spans="1:25" ht="38.25" customHeight="1" x14ac:dyDescent="0.2">
      <c r="A52" s="66" t="s">
        <v>639</v>
      </c>
      <c r="B52" s="66" t="s">
        <v>352</v>
      </c>
      <c r="C52" s="67">
        <v>2022</v>
      </c>
      <c r="D52" s="67">
        <v>2022</v>
      </c>
      <c r="E52" s="67" t="s">
        <v>363</v>
      </c>
      <c r="F52" s="67" t="s">
        <v>363</v>
      </c>
      <c r="G52" s="67" t="s">
        <v>363</v>
      </c>
      <c r="H52" s="67" t="s">
        <v>363</v>
      </c>
      <c r="I52" s="67" t="s">
        <v>355</v>
      </c>
      <c r="J52" s="68" t="s">
        <v>406</v>
      </c>
      <c r="K52" s="67" t="s">
        <v>447</v>
      </c>
      <c r="L52" s="68" t="s">
        <v>448</v>
      </c>
      <c r="M52" s="68">
        <v>2</v>
      </c>
      <c r="N52" s="67" t="s">
        <v>1153</v>
      </c>
      <c r="O52" s="68">
        <v>1</v>
      </c>
      <c r="P52" s="68" t="s">
        <v>1113</v>
      </c>
      <c r="Q52" s="148">
        <f>'SP SERVIZI 22-23 '!G193</f>
        <v>8361.65</v>
      </c>
      <c r="R52" s="65">
        <v>8361.65</v>
      </c>
      <c r="S52" s="65"/>
      <c r="T52" s="65"/>
      <c r="U52" s="65"/>
      <c r="V52" s="67"/>
      <c r="W52" s="671" t="s">
        <v>359</v>
      </c>
      <c r="X52" s="671" t="s">
        <v>1148</v>
      </c>
      <c r="Y52" s="71"/>
    </row>
    <row r="53" spans="1:25" ht="38.25" customHeight="1" x14ac:dyDescent="0.2">
      <c r="A53" s="66" t="s">
        <v>640</v>
      </c>
      <c r="B53" s="66" t="s">
        <v>352</v>
      </c>
      <c r="C53" s="67">
        <v>2022</v>
      </c>
      <c r="D53" s="67">
        <v>2022</v>
      </c>
      <c r="E53" s="67" t="s">
        <v>363</v>
      </c>
      <c r="F53" s="67"/>
      <c r="G53" s="67"/>
      <c r="H53" s="67"/>
      <c r="I53" s="67"/>
      <c r="J53" s="68"/>
      <c r="K53" s="67" t="s">
        <v>648</v>
      </c>
      <c r="L53" s="68" t="s">
        <v>1036</v>
      </c>
      <c r="M53" s="68">
        <v>1</v>
      </c>
      <c r="N53" s="67" t="s">
        <v>1152</v>
      </c>
      <c r="O53" s="68">
        <v>1</v>
      </c>
      <c r="P53" s="68" t="s">
        <v>353</v>
      </c>
      <c r="Q53" s="148">
        <f>'SP SERVIZI 22-23 '!G194</f>
        <v>10000</v>
      </c>
      <c r="R53" s="65">
        <v>10000</v>
      </c>
      <c r="S53" s="65"/>
      <c r="T53" s="65"/>
      <c r="U53" s="65"/>
      <c r="V53" s="67"/>
      <c r="W53" s="671" t="s">
        <v>359</v>
      </c>
      <c r="X53" s="671" t="s">
        <v>1148</v>
      </c>
      <c r="Y53" s="71"/>
    </row>
    <row r="54" spans="1:25" ht="38.25" customHeight="1" x14ac:dyDescent="0.2">
      <c r="A54" s="66" t="s">
        <v>641</v>
      </c>
      <c r="B54" s="66" t="s">
        <v>352</v>
      </c>
      <c r="C54" s="67">
        <v>2022</v>
      </c>
      <c r="D54" s="67">
        <v>2022</v>
      </c>
      <c r="E54" s="67" t="s">
        <v>363</v>
      </c>
      <c r="F54" s="67"/>
      <c r="G54" s="67"/>
      <c r="H54" s="67"/>
      <c r="I54" s="67"/>
      <c r="J54" s="68"/>
      <c r="K54" s="67" t="s">
        <v>1067</v>
      </c>
      <c r="L54" s="68" t="s">
        <v>1037</v>
      </c>
      <c r="M54" s="68">
        <v>2</v>
      </c>
      <c r="N54" s="67" t="s">
        <v>1151</v>
      </c>
      <c r="O54" s="68">
        <v>1</v>
      </c>
      <c r="P54" s="68" t="s">
        <v>353</v>
      </c>
      <c r="Q54" s="148">
        <f>'SP SERVIZI 22-23 '!G195</f>
        <v>15000</v>
      </c>
      <c r="R54" s="65">
        <v>0</v>
      </c>
      <c r="S54" s="65"/>
      <c r="T54" s="65"/>
      <c r="U54" s="65"/>
      <c r="V54" s="67"/>
      <c r="W54" s="671" t="s">
        <v>359</v>
      </c>
      <c r="X54" s="671" t="s">
        <v>1148</v>
      </c>
      <c r="Y54" s="71"/>
    </row>
    <row r="55" spans="1:25" ht="38.25" customHeight="1" x14ac:dyDescent="0.2">
      <c r="A55" s="66" t="s">
        <v>642</v>
      </c>
      <c r="B55" s="66" t="s">
        <v>352</v>
      </c>
      <c r="C55" s="67">
        <v>2022</v>
      </c>
      <c r="D55" s="67">
        <v>2022</v>
      </c>
      <c r="E55" s="67" t="s">
        <v>363</v>
      </c>
      <c r="F55" s="67"/>
      <c r="G55" s="67"/>
      <c r="H55" s="67"/>
      <c r="I55" s="67"/>
      <c r="J55" s="68"/>
      <c r="K55" s="67" t="s">
        <v>583</v>
      </c>
      <c r="L55" s="68" t="s">
        <v>512</v>
      </c>
      <c r="M55" s="68">
        <v>1</v>
      </c>
      <c r="N55" s="67" t="s">
        <v>1151</v>
      </c>
      <c r="O55" s="68">
        <v>1</v>
      </c>
      <c r="P55" s="68" t="s">
        <v>1113</v>
      </c>
      <c r="Q55" s="148">
        <f>'SP SERVIZI 22-23 '!G196</f>
        <v>154.91</v>
      </c>
      <c r="R55" s="65">
        <v>154.91</v>
      </c>
      <c r="S55" s="65"/>
      <c r="T55" s="65"/>
      <c r="U55" s="65"/>
      <c r="V55" s="67"/>
      <c r="W55" s="671" t="s">
        <v>359</v>
      </c>
      <c r="X55" s="671" t="s">
        <v>1148</v>
      </c>
      <c r="Y55" s="71"/>
    </row>
    <row r="56" spans="1:25" ht="38.25" customHeight="1" x14ac:dyDescent="0.2">
      <c r="A56" s="66" t="s">
        <v>643</v>
      </c>
      <c r="B56" s="66" t="s">
        <v>352</v>
      </c>
      <c r="C56" s="67">
        <v>2022</v>
      </c>
      <c r="D56" s="67">
        <v>2022</v>
      </c>
      <c r="E56" s="67" t="s">
        <v>363</v>
      </c>
      <c r="F56" s="67"/>
      <c r="G56" s="67"/>
      <c r="H56" s="67"/>
      <c r="I56" s="67"/>
      <c r="J56" s="68"/>
      <c r="K56" s="67" t="s">
        <v>584</v>
      </c>
      <c r="L56" s="68" t="s">
        <v>513</v>
      </c>
      <c r="M56" s="68">
        <v>1</v>
      </c>
      <c r="N56" s="67" t="s">
        <v>1151</v>
      </c>
      <c r="O56" s="68">
        <v>1</v>
      </c>
      <c r="P56" s="68" t="s">
        <v>1113</v>
      </c>
      <c r="Q56" s="148">
        <f>'SP SERVIZI 22-23 '!G197</f>
        <v>1207.25</v>
      </c>
      <c r="R56" s="65">
        <v>1207.25</v>
      </c>
      <c r="S56" s="65"/>
      <c r="T56" s="65"/>
      <c r="U56" s="65"/>
      <c r="V56" s="67"/>
      <c r="W56" s="671" t="s">
        <v>359</v>
      </c>
      <c r="X56" s="671" t="s">
        <v>1148</v>
      </c>
      <c r="Y56" s="71"/>
    </row>
    <row r="57" spans="1:25" ht="38.25" customHeight="1" x14ac:dyDescent="0.2">
      <c r="A57" s="66" t="s">
        <v>644</v>
      </c>
      <c r="B57" s="66" t="s">
        <v>352</v>
      </c>
      <c r="C57" s="67">
        <v>2022</v>
      </c>
      <c r="D57" s="67">
        <v>2022</v>
      </c>
      <c r="E57" s="67" t="s">
        <v>363</v>
      </c>
      <c r="F57" s="67"/>
      <c r="G57" s="67"/>
      <c r="H57" s="67"/>
      <c r="I57" s="67"/>
      <c r="J57" s="68"/>
      <c r="K57" s="67" t="s">
        <v>585</v>
      </c>
      <c r="L57" s="68" t="s">
        <v>514</v>
      </c>
      <c r="M57" s="68">
        <v>1</v>
      </c>
      <c r="N57" s="67" t="s">
        <v>1151</v>
      </c>
      <c r="O57" s="68">
        <v>1</v>
      </c>
      <c r="P57" s="68" t="s">
        <v>1113</v>
      </c>
      <c r="Q57" s="148">
        <f>'SP SERVIZI 22-23 '!G198</f>
        <v>2400</v>
      </c>
      <c r="R57" s="65">
        <v>2400</v>
      </c>
      <c r="S57" s="65"/>
      <c r="T57" s="65"/>
      <c r="U57" s="65"/>
      <c r="V57" s="67"/>
      <c r="W57" s="671" t="s">
        <v>359</v>
      </c>
      <c r="X57" s="671" t="s">
        <v>1148</v>
      </c>
      <c r="Y57" s="128"/>
    </row>
    <row r="58" spans="1:25" ht="38.25" customHeight="1" x14ac:dyDescent="0.2">
      <c r="A58" s="66" t="s">
        <v>645</v>
      </c>
      <c r="B58" s="66" t="s">
        <v>352</v>
      </c>
      <c r="C58" s="67">
        <v>2022</v>
      </c>
      <c r="D58" s="67">
        <v>2022</v>
      </c>
      <c r="E58" s="67" t="s">
        <v>363</v>
      </c>
      <c r="F58" s="67"/>
      <c r="G58" s="67"/>
      <c r="H58" s="67"/>
      <c r="I58" s="67"/>
      <c r="J58" s="68"/>
      <c r="K58" s="67">
        <v>48223000</v>
      </c>
      <c r="L58" s="68" t="s">
        <v>1038</v>
      </c>
      <c r="M58" s="68">
        <v>1</v>
      </c>
      <c r="N58" s="67" t="s">
        <v>1151</v>
      </c>
      <c r="O58" s="68">
        <v>1</v>
      </c>
      <c r="P58" s="68" t="s">
        <v>1113</v>
      </c>
      <c r="Q58" s="148">
        <f>'SP SERVIZI 22-23 '!M201</f>
        <v>8180.48</v>
      </c>
      <c r="R58" s="65">
        <v>8180.48</v>
      </c>
      <c r="S58" s="65"/>
      <c r="T58" s="65"/>
      <c r="U58" s="65"/>
      <c r="V58" s="67"/>
      <c r="W58" s="671" t="s">
        <v>359</v>
      </c>
      <c r="X58" s="671" t="s">
        <v>1148</v>
      </c>
      <c r="Y58" s="128"/>
    </row>
    <row r="59" spans="1:25" ht="38.25" customHeight="1" x14ac:dyDescent="0.2">
      <c r="A59" s="66" t="s">
        <v>1068</v>
      </c>
      <c r="B59" s="66" t="s">
        <v>352</v>
      </c>
      <c r="C59" s="67">
        <v>2022</v>
      </c>
      <c r="D59" s="67">
        <v>2022</v>
      </c>
      <c r="E59" s="67" t="s">
        <v>353</v>
      </c>
      <c r="F59" s="67"/>
      <c r="G59" s="67"/>
      <c r="H59" s="67"/>
      <c r="I59" s="67"/>
      <c r="J59" s="68"/>
      <c r="K59" s="67">
        <v>48223000</v>
      </c>
      <c r="L59" s="68" t="s">
        <v>1039</v>
      </c>
      <c r="M59" s="68">
        <v>1</v>
      </c>
      <c r="N59" s="67" t="s">
        <v>1150</v>
      </c>
      <c r="O59" s="68">
        <v>1</v>
      </c>
      <c r="P59" s="68" t="s">
        <v>353</v>
      </c>
      <c r="Q59" s="148">
        <f>'SP SERVIZI 22-23 '!G202</f>
        <v>10000</v>
      </c>
      <c r="R59" s="65">
        <v>4000</v>
      </c>
      <c r="S59" s="65"/>
      <c r="T59" s="65"/>
      <c r="U59" s="65"/>
      <c r="V59" s="67"/>
      <c r="W59" s="671" t="s">
        <v>359</v>
      </c>
      <c r="X59" s="671" t="s">
        <v>1148</v>
      </c>
      <c r="Y59" s="71"/>
    </row>
    <row r="60" spans="1:25" s="114" customFormat="1" ht="38.25" customHeight="1" x14ac:dyDescent="0.2">
      <c r="A60" s="66" t="s">
        <v>1069</v>
      </c>
      <c r="B60" s="66" t="s">
        <v>352</v>
      </c>
      <c r="C60" s="67">
        <v>2022</v>
      </c>
      <c r="D60" s="67">
        <v>2022</v>
      </c>
      <c r="E60" s="67" t="s">
        <v>363</v>
      </c>
      <c r="F60" s="67" t="s">
        <v>363</v>
      </c>
      <c r="G60" s="67" t="s">
        <v>363</v>
      </c>
      <c r="H60" s="67" t="s">
        <v>363</v>
      </c>
      <c r="I60" s="67" t="s">
        <v>355</v>
      </c>
      <c r="J60" s="68" t="s">
        <v>356</v>
      </c>
      <c r="K60" s="67" t="s">
        <v>450</v>
      </c>
      <c r="L60" s="68" t="s">
        <v>451</v>
      </c>
      <c r="M60" s="68">
        <v>2</v>
      </c>
      <c r="N60" s="67" t="s">
        <v>1152</v>
      </c>
      <c r="O60" s="68">
        <v>1</v>
      </c>
      <c r="P60" s="68" t="s">
        <v>1113</v>
      </c>
      <c r="Q60" s="148">
        <f>'SP SERVIZI 22-23 '!G204</f>
        <v>3047.49</v>
      </c>
      <c r="R60" s="675">
        <v>3047.49</v>
      </c>
      <c r="S60" s="111"/>
      <c r="T60" s="111"/>
      <c r="U60" s="111"/>
      <c r="V60" s="109"/>
      <c r="W60" s="671" t="s">
        <v>359</v>
      </c>
      <c r="X60" s="671" t="s">
        <v>1148</v>
      </c>
      <c r="Y60" s="113"/>
    </row>
    <row r="61" spans="1:25" s="114" customFormat="1" ht="38.25" customHeight="1" x14ac:dyDescent="0.2">
      <c r="A61" s="66" t="s">
        <v>1071</v>
      </c>
      <c r="B61" s="66" t="s">
        <v>352</v>
      </c>
      <c r="C61" s="67">
        <v>2022</v>
      </c>
      <c r="D61" s="67">
        <v>2022</v>
      </c>
      <c r="E61" s="67" t="s">
        <v>363</v>
      </c>
      <c r="F61" s="67" t="s">
        <v>363</v>
      </c>
      <c r="G61" s="67" t="s">
        <v>363</v>
      </c>
      <c r="H61" s="67" t="s">
        <v>363</v>
      </c>
      <c r="I61" s="67" t="s">
        <v>355</v>
      </c>
      <c r="J61" s="68" t="s">
        <v>406</v>
      </c>
      <c r="K61" s="67" t="s">
        <v>453</v>
      </c>
      <c r="L61" s="68" t="s">
        <v>454</v>
      </c>
      <c r="M61" s="68">
        <v>2</v>
      </c>
      <c r="N61" s="67" t="s">
        <v>1150</v>
      </c>
      <c r="O61" s="68">
        <v>1</v>
      </c>
      <c r="P61" s="68" t="s">
        <v>1113</v>
      </c>
      <c r="Q61" s="148">
        <f>'SP SERVIZI 22-23 '!G205</f>
        <v>1453</v>
      </c>
      <c r="R61" s="675">
        <v>1453</v>
      </c>
      <c r="S61" s="111"/>
      <c r="T61" s="111"/>
      <c r="U61" s="111"/>
      <c r="V61" s="109"/>
      <c r="W61" s="671" t="s">
        <v>359</v>
      </c>
      <c r="X61" s="671" t="s">
        <v>1148</v>
      </c>
      <c r="Y61" s="113"/>
    </row>
    <row r="62" spans="1:25" s="114" customFormat="1" ht="38.25" customHeight="1" x14ac:dyDescent="0.2">
      <c r="A62" s="66" t="s">
        <v>1072</v>
      </c>
      <c r="B62" s="66" t="s">
        <v>352</v>
      </c>
      <c r="C62" s="67">
        <v>2022</v>
      </c>
      <c r="D62" s="67">
        <v>2022</v>
      </c>
      <c r="E62" s="67" t="s">
        <v>363</v>
      </c>
      <c r="F62" s="67" t="s">
        <v>363</v>
      </c>
      <c r="G62" s="67" t="s">
        <v>363</v>
      </c>
      <c r="H62" s="67" t="s">
        <v>363</v>
      </c>
      <c r="I62" s="67" t="s">
        <v>355</v>
      </c>
      <c r="J62" s="68" t="s">
        <v>406</v>
      </c>
      <c r="K62" s="67" t="s">
        <v>456</v>
      </c>
      <c r="L62" s="68" t="s">
        <v>457</v>
      </c>
      <c r="M62" s="68">
        <v>3</v>
      </c>
      <c r="N62" s="67" t="s">
        <v>1150</v>
      </c>
      <c r="O62" s="68">
        <v>1</v>
      </c>
      <c r="P62" s="68" t="s">
        <v>353</v>
      </c>
      <c r="Q62" s="148">
        <v>0</v>
      </c>
      <c r="R62" s="675">
        <v>0</v>
      </c>
      <c r="S62" s="111"/>
      <c r="T62" s="111"/>
      <c r="U62" s="111"/>
      <c r="V62" s="109"/>
      <c r="W62" s="671" t="s">
        <v>359</v>
      </c>
      <c r="X62" s="671" t="s">
        <v>1148</v>
      </c>
      <c r="Y62" s="113"/>
    </row>
    <row r="63" spans="1:25" s="114" customFormat="1" ht="38.25" customHeight="1" x14ac:dyDescent="0.2">
      <c r="A63" s="66"/>
      <c r="B63" s="66"/>
      <c r="C63" s="67"/>
      <c r="D63" s="67"/>
      <c r="E63" s="67"/>
      <c r="F63" s="67"/>
      <c r="G63" s="67"/>
      <c r="H63" s="67"/>
      <c r="I63" s="67"/>
      <c r="J63" s="68"/>
      <c r="K63" s="67"/>
      <c r="L63" s="68"/>
      <c r="M63" s="68"/>
      <c r="N63" s="67"/>
      <c r="O63" s="68"/>
      <c r="P63" s="68"/>
      <c r="Q63" s="675"/>
      <c r="R63" s="111"/>
      <c r="S63" s="111"/>
      <c r="T63" s="111"/>
      <c r="U63" s="111"/>
      <c r="V63" s="109"/>
      <c r="W63" s="680"/>
      <c r="X63" s="112"/>
      <c r="Y63" s="113"/>
    </row>
    <row r="64" spans="1:25" s="114" customFormat="1" ht="38.25" customHeight="1" x14ac:dyDescent="0.2">
      <c r="A64" s="638" t="s">
        <v>1070</v>
      </c>
      <c r="B64" s="66"/>
      <c r="C64" s="67"/>
      <c r="D64" s="67"/>
      <c r="E64" s="67"/>
      <c r="F64" s="67"/>
      <c r="G64" s="67"/>
      <c r="H64" s="67"/>
      <c r="I64" s="67"/>
      <c r="J64" s="68"/>
      <c r="K64" s="67"/>
      <c r="L64" s="68"/>
      <c r="M64" s="68"/>
      <c r="N64" s="67"/>
      <c r="O64" s="68"/>
      <c r="P64" s="68"/>
      <c r="Q64" s="675"/>
      <c r="R64" s="111"/>
      <c r="S64" s="111"/>
      <c r="T64" s="111"/>
      <c r="U64" s="111"/>
      <c r="V64" s="109"/>
      <c r="W64" s="680"/>
      <c r="X64" s="112"/>
      <c r="Y64" s="113"/>
    </row>
    <row r="65" spans="1:25" s="114" customFormat="1" ht="38.25" customHeight="1" x14ac:dyDescent="0.2">
      <c r="A65" s="638" t="s">
        <v>1073</v>
      </c>
      <c r="B65" s="638" t="s">
        <v>352</v>
      </c>
      <c r="C65" s="109">
        <v>2022</v>
      </c>
      <c r="D65" s="109">
        <v>2022</v>
      </c>
      <c r="E65" s="109" t="s">
        <v>363</v>
      </c>
      <c r="F65" s="109" t="s">
        <v>353</v>
      </c>
      <c r="G65" s="109" t="s">
        <v>363</v>
      </c>
      <c r="H65" s="109" t="s">
        <v>363</v>
      </c>
      <c r="I65" s="109" t="s">
        <v>355</v>
      </c>
      <c r="J65" s="110" t="s">
        <v>364</v>
      </c>
      <c r="K65" s="109" t="s">
        <v>365</v>
      </c>
      <c r="L65" s="110" t="s">
        <v>515</v>
      </c>
      <c r="M65" s="110">
        <v>1</v>
      </c>
      <c r="N65" s="109" t="s">
        <v>1150</v>
      </c>
      <c r="O65" s="110">
        <v>1</v>
      </c>
      <c r="P65" s="110" t="s">
        <v>353</v>
      </c>
      <c r="Q65" s="111">
        <v>564.04999999999995</v>
      </c>
      <c r="R65" s="111">
        <v>564.04999999999995</v>
      </c>
      <c r="S65" s="111"/>
      <c r="T65" s="111"/>
      <c r="U65" s="111"/>
      <c r="V65" s="109"/>
      <c r="W65" s="671" t="s">
        <v>359</v>
      </c>
      <c r="X65" s="671" t="s">
        <v>1148</v>
      </c>
      <c r="Y65" s="113"/>
    </row>
    <row r="66" spans="1:25" s="114" customFormat="1" ht="38.25" customHeight="1" x14ac:dyDescent="0.2">
      <c r="A66" s="638" t="s">
        <v>1074</v>
      </c>
      <c r="B66" s="638" t="s">
        <v>352</v>
      </c>
      <c r="C66" s="109">
        <v>2022</v>
      </c>
      <c r="D66" s="109">
        <v>2022</v>
      </c>
      <c r="E66" s="109" t="s">
        <v>363</v>
      </c>
      <c r="F66" s="109"/>
      <c r="G66" s="109"/>
      <c r="H66" s="109"/>
      <c r="I66" s="109"/>
      <c r="J66" s="110" t="s">
        <v>361</v>
      </c>
      <c r="K66" s="109" t="s">
        <v>365</v>
      </c>
      <c r="L66" s="110" t="s">
        <v>516</v>
      </c>
      <c r="M66" s="110">
        <v>1</v>
      </c>
      <c r="N66" s="109" t="s">
        <v>1150</v>
      </c>
      <c r="O66" s="110">
        <v>1</v>
      </c>
      <c r="P66" s="110" t="s">
        <v>353</v>
      </c>
      <c r="Q66" s="111">
        <v>104.79</v>
      </c>
      <c r="R66" s="111">
        <v>104.79</v>
      </c>
      <c r="S66" s="111"/>
      <c r="T66" s="111"/>
      <c r="U66" s="111"/>
      <c r="V66" s="109"/>
      <c r="W66" s="671" t="s">
        <v>359</v>
      </c>
      <c r="X66" s="671" t="s">
        <v>1148</v>
      </c>
      <c r="Y66" s="113"/>
    </row>
    <row r="67" spans="1:25" s="114" customFormat="1" ht="149.25" customHeight="1" x14ac:dyDescent="0.25">
      <c r="A67" s="638" t="s">
        <v>1075</v>
      </c>
      <c r="B67" s="638" t="s">
        <v>352</v>
      </c>
      <c r="C67" s="109">
        <v>2022</v>
      </c>
      <c r="D67" s="109">
        <v>2022</v>
      </c>
      <c r="E67" s="109" t="s">
        <v>363</v>
      </c>
      <c r="F67" s="109" t="s">
        <v>353</v>
      </c>
      <c r="G67" s="109" t="s">
        <v>363</v>
      </c>
      <c r="H67" s="109" t="s">
        <v>363</v>
      </c>
      <c r="I67" s="109" t="s">
        <v>355</v>
      </c>
      <c r="J67" s="110" t="s">
        <v>364</v>
      </c>
      <c r="K67" s="639" t="s">
        <v>373</v>
      </c>
      <c r="L67" s="110" t="s">
        <v>517</v>
      </c>
      <c r="M67" s="110">
        <v>1</v>
      </c>
      <c r="N67" s="109" t="s">
        <v>1150</v>
      </c>
      <c r="O67" s="110">
        <v>1</v>
      </c>
      <c r="P67" s="110" t="s">
        <v>353</v>
      </c>
      <c r="Q67" s="111">
        <v>20.100000000000001</v>
      </c>
      <c r="R67" s="111">
        <v>20.100000000000001</v>
      </c>
      <c r="S67" s="111"/>
      <c r="T67" s="111"/>
      <c r="U67" s="111"/>
      <c r="V67" s="109"/>
      <c r="W67" s="671" t="s">
        <v>359</v>
      </c>
      <c r="X67" s="671" t="s">
        <v>1148</v>
      </c>
      <c r="Y67" s="113"/>
    </row>
    <row r="68" spans="1:25" s="114" customFormat="1" ht="68.25" customHeight="1" x14ac:dyDescent="0.25">
      <c r="A68" s="638" t="s">
        <v>1076</v>
      </c>
      <c r="B68" s="638" t="s">
        <v>352</v>
      </c>
      <c r="C68" s="109">
        <v>2022</v>
      </c>
      <c r="D68" s="109">
        <v>2022</v>
      </c>
      <c r="E68" s="109" t="s">
        <v>363</v>
      </c>
      <c r="F68" s="109" t="s">
        <v>363</v>
      </c>
      <c r="G68" s="109" t="s">
        <v>363</v>
      </c>
      <c r="H68" s="109" t="s">
        <v>363</v>
      </c>
      <c r="I68" s="109" t="s">
        <v>355</v>
      </c>
      <c r="J68" s="110" t="s">
        <v>399</v>
      </c>
      <c r="K68" s="639" t="s">
        <v>400</v>
      </c>
      <c r="L68" s="110" t="s">
        <v>518</v>
      </c>
      <c r="M68" s="110">
        <v>1</v>
      </c>
      <c r="N68" s="109" t="s">
        <v>1152</v>
      </c>
      <c r="O68" s="110">
        <v>1</v>
      </c>
      <c r="P68" s="110" t="s">
        <v>1113</v>
      </c>
      <c r="Q68" s="111">
        <v>13000</v>
      </c>
      <c r="R68" s="111">
        <v>13000</v>
      </c>
      <c r="S68" s="111"/>
      <c r="T68" s="111"/>
      <c r="U68" s="111"/>
      <c r="V68" s="109"/>
      <c r="W68" s="671"/>
      <c r="X68" s="671" t="s">
        <v>1149</v>
      </c>
      <c r="Y68" s="113"/>
    </row>
    <row r="69" spans="1:25" s="114" customFormat="1" ht="68.25" customHeight="1" x14ac:dyDescent="0.25">
      <c r="A69" s="638" t="s">
        <v>1077</v>
      </c>
      <c r="B69" s="638" t="s">
        <v>352</v>
      </c>
      <c r="C69" s="109">
        <v>2022</v>
      </c>
      <c r="D69" s="109">
        <v>2022</v>
      </c>
      <c r="E69" s="109" t="s">
        <v>363</v>
      </c>
      <c r="F69" s="109" t="s">
        <v>363</v>
      </c>
      <c r="G69" s="109" t="s">
        <v>363</v>
      </c>
      <c r="H69" s="109" t="s">
        <v>363</v>
      </c>
      <c r="I69" s="109" t="s">
        <v>355</v>
      </c>
      <c r="J69" s="110" t="s">
        <v>406</v>
      </c>
      <c r="K69" s="639" t="s">
        <v>422</v>
      </c>
      <c r="L69" s="110" t="s">
        <v>1041</v>
      </c>
      <c r="M69" s="110">
        <v>1</v>
      </c>
      <c r="N69" s="109" t="s">
        <v>1151</v>
      </c>
      <c r="O69" s="110">
        <v>1</v>
      </c>
      <c r="P69" s="110" t="s">
        <v>1113</v>
      </c>
      <c r="Q69" s="111">
        <v>19808.41</v>
      </c>
      <c r="R69" s="111">
        <v>19808.41</v>
      </c>
      <c r="S69" s="111"/>
      <c r="T69" s="111"/>
      <c r="U69" s="111"/>
      <c r="V69" s="109"/>
      <c r="W69" s="671" t="s">
        <v>359</v>
      </c>
      <c r="X69" s="671" t="s">
        <v>1148</v>
      </c>
      <c r="Y69" s="113"/>
    </row>
    <row r="70" spans="1:25" s="114" customFormat="1" ht="38.25" customHeight="1" x14ac:dyDescent="0.2">
      <c r="A70" s="638" t="s">
        <v>1078</v>
      </c>
      <c r="B70" s="638" t="s">
        <v>352</v>
      </c>
      <c r="C70" s="109">
        <v>2022</v>
      </c>
      <c r="D70" s="109">
        <v>2022</v>
      </c>
      <c r="E70" s="109" t="s">
        <v>363</v>
      </c>
      <c r="F70" s="109"/>
      <c r="G70" s="109"/>
      <c r="H70" s="109"/>
      <c r="I70" s="109"/>
      <c r="J70" s="110"/>
      <c r="K70" s="109" t="s">
        <v>456</v>
      </c>
      <c r="L70" s="110" t="s">
        <v>1042</v>
      </c>
      <c r="M70" s="110">
        <v>1</v>
      </c>
      <c r="N70" s="109" t="s">
        <v>1154</v>
      </c>
      <c r="O70" s="110">
        <v>1</v>
      </c>
      <c r="P70" s="110" t="s">
        <v>353</v>
      </c>
      <c r="Q70" s="111">
        <v>30914.969999999998</v>
      </c>
      <c r="R70" s="111">
        <v>30914.969999999998</v>
      </c>
      <c r="S70" s="111"/>
      <c r="T70" s="111"/>
      <c r="U70" s="111"/>
      <c r="V70" s="109"/>
      <c r="W70" s="671" t="s">
        <v>359</v>
      </c>
      <c r="X70" s="671" t="s">
        <v>1148</v>
      </c>
      <c r="Y70" s="113"/>
    </row>
    <row r="71" spans="1:25" s="114" customFormat="1" ht="38.25" customHeight="1" x14ac:dyDescent="0.2">
      <c r="A71" s="638" t="s">
        <v>1079</v>
      </c>
      <c r="B71" s="638" t="s">
        <v>352</v>
      </c>
      <c r="C71" s="109">
        <v>2022</v>
      </c>
      <c r="D71" s="109">
        <v>2022</v>
      </c>
      <c r="E71" s="109" t="s">
        <v>363</v>
      </c>
      <c r="F71" s="109"/>
      <c r="G71" s="109"/>
      <c r="H71" s="109"/>
      <c r="I71" s="109"/>
      <c r="J71" s="110"/>
      <c r="K71" s="109" t="s">
        <v>654</v>
      </c>
      <c r="L71" s="110" t="s">
        <v>1043</v>
      </c>
      <c r="M71" s="110">
        <v>1</v>
      </c>
      <c r="N71" s="109" t="s">
        <v>1152</v>
      </c>
      <c r="O71" s="110">
        <v>1</v>
      </c>
      <c r="P71" s="110" t="s">
        <v>353</v>
      </c>
      <c r="Q71" s="111">
        <v>31500</v>
      </c>
      <c r="R71" s="111">
        <v>39000</v>
      </c>
      <c r="S71" s="111"/>
      <c r="T71" s="111"/>
      <c r="U71" s="111"/>
      <c r="V71" s="109"/>
      <c r="W71" s="671" t="s">
        <v>359</v>
      </c>
      <c r="X71" s="671" t="s">
        <v>1148</v>
      </c>
      <c r="Y71" s="113"/>
    </row>
    <row r="72" spans="1:25" s="114" customFormat="1" ht="38.25" customHeight="1" x14ac:dyDescent="0.25">
      <c r="A72" s="638" t="s">
        <v>1080</v>
      </c>
      <c r="B72" s="638" t="s">
        <v>352</v>
      </c>
      <c r="C72" s="109">
        <v>2022</v>
      </c>
      <c r="D72" s="109">
        <v>2022</v>
      </c>
      <c r="E72" s="109" t="s">
        <v>363</v>
      </c>
      <c r="F72" s="109" t="s">
        <v>363</v>
      </c>
      <c r="G72" s="109" t="s">
        <v>363</v>
      </c>
      <c r="H72" s="109" t="s">
        <v>363</v>
      </c>
      <c r="I72" s="109" t="s">
        <v>355</v>
      </c>
      <c r="J72" s="110" t="s">
        <v>406</v>
      </c>
      <c r="K72" s="639" t="s">
        <v>428</v>
      </c>
      <c r="L72" s="110" t="s">
        <v>519</v>
      </c>
      <c r="M72" s="110">
        <v>1</v>
      </c>
      <c r="N72" s="109" t="s">
        <v>1151</v>
      </c>
      <c r="O72" s="110">
        <v>1</v>
      </c>
      <c r="P72" s="110" t="s">
        <v>353</v>
      </c>
      <c r="Q72" s="111">
        <v>960</v>
      </c>
      <c r="R72" s="111">
        <v>960</v>
      </c>
      <c r="S72" s="111"/>
      <c r="T72" s="111"/>
      <c r="U72" s="111"/>
      <c r="V72" s="109"/>
      <c r="W72" s="671" t="s">
        <v>359</v>
      </c>
      <c r="X72" s="671" t="s">
        <v>1148</v>
      </c>
      <c r="Y72" s="113"/>
    </row>
    <row r="73" spans="1:25" s="114" customFormat="1" ht="38.25" customHeight="1" x14ac:dyDescent="0.2">
      <c r="A73" s="638" t="s">
        <v>1081</v>
      </c>
      <c r="B73" s="638" t="s">
        <v>352</v>
      </c>
      <c r="C73" s="109">
        <v>2022</v>
      </c>
      <c r="D73" s="109">
        <v>2022</v>
      </c>
      <c r="E73" s="109" t="s">
        <v>363</v>
      </c>
      <c r="F73" s="109"/>
      <c r="G73" s="109"/>
      <c r="H73" s="109"/>
      <c r="I73" s="109"/>
      <c r="J73" s="110"/>
      <c r="K73" s="109" t="s">
        <v>660</v>
      </c>
      <c r="L73" s="110" t="s">
        <v>521</v>
      </c>
      <c r="M73" s="110">
        <v>1</v>
      </c>
      <c r="N73" s="109" t="s">
        <v>1152</v>
      </c>
      <c r="O73" s="110">
        <v>1</v>
      </c>
      <c r="P73" s="110" t="s">
        <v>353</v>
      </c>
      <c r="Q73" s="111">
        <v>0</v>
      </c>
      <c r="R73" s="111">
        <v>0</v>
      </c>
      <c r="S73" s="111"/>
      <c r="T73" s="111"/>
      <c r="U73" s="111"/>
      <c r="V73" s="109"/>
      <c r="W73" s="671" t="s">
        <v>359</v>
      </c>
      <c r="X73" s="671" t="s">
        <v>1148</v>
      </c>
      <c r="Y73" s="113"/>
    </row>
    <row r="74" spans="1:25" s="114" customFormat="1" ht="38.25" customHeight="1" x14ac:dyDescent="0.25">
      <c r="A74" s="638" t="s">
        <v>1083</v>
      </c>
      <c r="B74" s="638" t="s">
        <v>352</v>
      </c>
      <c r="C74" s="109">
        <v>2022</v>
      </c>
      <c r="D74" s="109">
        <v>2022</v>
      </c>
      <c r="E74" s="109" t="s">
        <v>363</v>
      </c>
      <c r="F74" s="109"/>
      <c r="G74" s="109"/>
      <c r="H74" s="109"/>
      <c r="I74" s="109"/>
      <c r="J74" s="110"/>
      <c r="K74" s="639" t="s">
        <v>668</v>
      </c>
      <c r="L74" s="110" t="s">
        <v>523</v>
      </c>
      <c r="M74" s="110">
        <v>1</v>
      </c>
      <c r="N74" s="109" t="s">
        <v>1151</v>
      </c>
      <c r="O74" s="110">
        <v>1</v>
      </c>
      <c r="P74" s="110" t="s">
        <v>1113</v>
      </c>
      <c r="Q74" s="111">
        <v>12046.15</v>
      </c>
      <c r="R74" s="111">
        <v>12046.15</v>
      </c>
      <c r="S74" s="111"/>
      <c r="T74" s="111"/>
      <c r="U74" s="111"/>
      <c r="V74" s="109"/>
      <c r="W74" s="671" t="s">
        <v>359</v>
      </c>
      <c r="X74" s="671" t="s">
        <v>1148</v>
      </c>
      <c r="Y74" s="113"/>
    </row>
    <row r="75" spans="1:25" s="114" customFormat="1" ht="69" customHeight="1" x14ac:dyDescent="0.25">
      <c r="A75" s="638" t="s">
        <v>1084</v>
      </c>
      <c r="B75" s="638" t="s">
        <v>352</v>
      </c>
      <c r="C75" s="109">
        <v>2022</v>
      </c>
      <c r="D75" s="109">
        <v>2022</v>
      </c>
      <c r="E75" s="109" t="s">
        <v>353</v>
      </c>
      <c r="F75" s="109"/>
      <c r="G75" s="109"/>
      <c r="H75" s="109"/>
      <c r="I75" s="109"/>
      <c r="J75" s="110"/>
      <c r="K75" s="639" t="s">
        <v>1082</v>
      </c>
      <c r="L75" s="110" t="s">
        <v>1044</v>
      </c>
      <c r="M75" s="110">
        <v>1</v>
      </c>
      <c r="N75" s="109" t="s">
        <v>1154</v>
      </c>
      <c r="O75" s="110">
        <v>1</v>
      </c>
      <c r="P75" s="110" t="s">
        <v>1113</v>
      </c>
      <c r="Q75" s="111">
        <v>3000</v>
      </c>
      <c r="R75" s="111">
        <v>3000</v>
      </c>
      <c r="S75" s="111"/>
      <c r="T75" s="111"/>
      <c r="U75" s="111"/>
      <c r="V75" s="109"/>
      <c r="W75" s="671" t="s">
        <v>359</v>
      </c>
      <c r="X75" s="671" t="s">
        <v>1148</v>
      </c>
      <c r="Y75" s="113"/>
    </row>
    <row r="76" spans="1:25" s="114" customFormat="1" ht="69" customHeight="1" x14ac:dyDescent="0.25">
      <c r="A76" s="638" t="s">
        <v>1085</v>
      </c>
      <c r="B76" s="638" t="s">
        <v>352</v>
      </c>
      <c r="C76" s="109">
        <v>2022</v>
      </c>
      <c r="D76" s="109">
        <v>2022</v>
      </c>
      <c r="E76" s="109" t="s">
        <v>363</v>
      </c>
      <c r="F76" s="109"/>
      <c r="G76" s="109"/>
      <c r="H76" s="109"/>
      <c r="I76" s="109"/>
      <c r="J76" s="110"/>
      <c r="K76" s="639" t="s">
        <v>655</v>
      </c>
      <c r="L76" s="110" t="s">
        <v>1045</v>
      </c>
      <c r="M76" s="110">
        <v>1</v>
      </c>
      <c r="N76" s="109" t="s">
        <v>1154</v>
      </c>
      <c r="O76" s="110">
        <v>1</v>
      </c>
      <c r="P76" s="110" t="s">
        <v>353</v>
      </c>
      <c r="Q76" s="111">
        <v>282500</v>
      </c>
      <c r="R76" s="111">
        <v>92500</v>
      </c>
      <c r="S76" s="111"/>
      <c r="T76" s="111"/>
      <c r="U76" s="111"/>
      <c r="V76" s="109"/>
      <c r="W76" s="671" t="s">
        <v>359</v>
      </c>
      <c r="X76" s="671" t="s">
        <v>1148</v>
      </c>
      <c r="Y76" s="113"/>
    </row>
    <row r="77" spans="1:25" s="114" customFormat="1" ht="38.25" customHeight="1" x14ac:dyDescent="0.2">
      <c r="A77" s="638" t="s">
        <v>1086</v>
      </c>
      <c r="B77" s="638" t="s">
        <v>352</v>
      </c>
      <c r="C77" s="109">
        <v>2022</v>
      </c>
      <c r="D77" s="109">
        <v>2022</v>
      </c>
      <c r="E77" s="109" t="s">
        <v>363</v>
      </c>
      <c r="F77" s="109" t="s">
        <v>363</v>
      </c>
      <c r="G77" s="109" t="s">
        <v>363</v>
      </c>
      <c r="H77" s="109" t="s">
        <v>363</v>
      </c>
      <c r="I77" s="109" t="s">
        <v>355</v>
      </c>
      <c r="J77" s="110" t="s">
        <v>406</v>
      </c>
      <c r="K77" s="109" t="s">
        <v>416</v>
      </c>
      <c r="L77" s="110" t="s">
        <v>522</v>
      </c>
      <c r="M77" s="110">
        <v>1</v>
      </c>
      <c r="N77" s="109" t="s">
        <v>1154</v>
      </c>
      <c r="O77" s="110">
        <v>1</v>
      </c>
      <c r="P77" s="110" t="s">
        <v>353</v>
      </c>
      <c r="Q77" s="111">
        <v>6000</v>
      </c>
      <c r="R77" s="111">
        <v>6000</v>
      </c>
      <c r="S77" s="111"/>
      <c r="T77" s="111"/>
      <c r="U77" s="111"/>
      <c r="V77" s="109"/>
      <c r="W77" s="671" t="s">
        <v>359</v>
      </c>
      <c r="X77" s="671" t="s">
        <v>1148</v>
      </c>
      <c r="Y77" s="113"/>
    </row>
    <row r="78" spans="1:25" s="114" customFormat="1" ht="38.25" customHeight="1" x14ac:dyDescent="0.2">
      <c r="A78" s="638" t="s">
        <v>1087</v>
      </c>
      <c r="B78" s="638" t="s">
        <v>352</v>
      </c>
      <c r="C78" s="109">
        <v>2022</v>
      </c>
      <c r="D78" s="109">
        <v>2022</v>
      </c>
      <c r="E78" s="109" t="s">
        <v>363</v>
      </c>
      <c r="F78" s="109" t="s">
        <v>363</v>
      </c>
      <c r="G78" s="109" t="s">
        <v>363</v>
      </c>
      <c r="H78" s="109" t="s">
        <v>363</v>
      </c>
      <c r="I78" s="109" t="s">
        <v>355</v>
      </c>
      <c r="J78" s="110" t="s">
        <v>406</v>
      </c>
      <c r="K78" s="109" t="s">
        <v>419</v>
      </c>
      <c r="L78" s="110" t="s">
        <v>520</v>
      </c>
      <c r="M78" s="110">
        <v>1</v>
      </c>
      <c r="N78" s="109" t="s">
        <v>1154</v>
      </c>
      <c r="O78" s="110">
        <v>1</v>
      </c>
      <c r="P78" s="110" t="s">
        <v>353</v>
      </c>
      <c r="Q78" s="111">
        <v>321964.62</v>
      </c>
      <c r="R78" s="111">
        <v>203464.62</v>
      </c>
      <c r="S78" s="111"/>
      <c r="T78" s="111"/>
      <c r="U78" s="111"/>
      <c r="V78" s="109"/>
      <c r="W78" s="671" t="s">
        <v>359</v>
      </c>
      <c r="X78" s="671" t="s">
        <v>1148</v>
      </c>
      <c r="Y78" s="113"/>
    </row>
    <row r="79" spans="1:25" s="114" customFormat="1" ht="38.25" customHeight="1" x14ac:dyDescent="0.2">
      <c r="A79" s="638" t="s">
        <v>1088</v>
      </c>
      <c r="B79" s="638" t="s">
        <v>352</v>
      </c>
      <c r="C79" s="109">
        <v>2022</v>
      </c>
      <c r="D79" s="109">
        <v>2022</v>
      </c>
      <c r="E79" s="109" t="s">
        <v>363</v>
      </c>
      <c r="F79" s="109"/>
      <c r="G79" s="109"/>
      <c r="H79" s="109"/>
      <c r="I79" s="109"/>
      <c r="J79" s="110"/>
      <c r="K79" s="109" t="s">
        <v>1097</v>
      </c>
      <c r="L79" s="110" t="s">
        <v>1046</v>
      </c>
      <c r="M79" s="110">
        <v>1</v>
      </c>
      <c r="N79" s="109" t="s">
        <v>1154</v>
      </c>
      <c r="O79" s="110">
        <v>1</v>
      </c>
      <c r="P79" s="110" t="s">
        <v>353</v>
      </c>
      <c r="Q79" s="111">
        <v>6243.96</v>
      </c>
      <c r="R79" s="111">
        <v>6243.96</v>
      </c>
      <c r="S79" s="111"/>
      <c r="T79" s="111"/>
      <c r="U79" s="111"/>
      <c r="V79" s="109"/>
      <c r="W79" s="671" t="s">
        <v>359</v>
      </c>
      <c r="X79" s="671" t="s">
        <v>1148</v>
      </c>
      <c r="Y79" s="113"/>
    </row>
    <row r="80" spans="1:25" s="114" customFormat="1" ht="38.25" customHeight="1" x14ac:dyDescent="0.2">
      <c r="A80" s="638" t="s">
        <v>1089</v>
      </c>
      <c r="B80" s="638" t="s">
        <v>352</v>
      </c>
      <c r="C80" s="109">
        <v>2022</v>
      </c>
      <c r="D80" s="109">
        <v>2022</v>
      </c>
      <c r="E80" s="109" t="s">
        <v>363</v>
      </c>
      <c r="F80" s="109"/>
      <c r="G80" s="109"/>
      <c r="H80" s="109"/>
      <c r="I80" s="109"/>
      <c r="J80" s="110"/>
      <c r="K80" s="109" t="s">
        <v>1098</v>
      </c>
      <c r="L80" s="110" t="s">
        <v>442</v>
      </c>
      <c r="M80" s="110">
        <v>1</v>
      </c>
      <c r="N80" s="109" t="s">
        <v>1152</v>
      </c>
      <c r="O80" s="110">
        <v>1</v>
      </c>
      <c r="P80" s="110" t="s">
        <v>1113</v>
      </c>
      <c r="Q80" s="111">
        <v>13386.84</v>
      </c>
      <c r="R80" s="111">
        <v>13386.84</v>
      </c>
      <c r="S80" s="111"/>
      <c r="T80" s="111"/>
      <c r="U80" s="111"/>
      <c r="V80" s="109"/>
      <c r="W80" s="671" t="s">
        <v>359</v>
      </c>
      <c r="X80" s="671" t="s">
        <v>1148</v>
      </c>
      <c r="Y80" s="113"/>
    </row>
    <row r="81" spans="1:25" s="114" customFormat="1" ht="38.25" customHeight="1" x14ac:dyDescent="0.25">
      <c r="A81" s="638" t="s">
        <v>1090</v>
      </c>
      <c r="B81" s="638" t="s">
        <v>352</v>
      </c>
      <c r="C81" s="109">
        <v>2022</v>
      </c>
      <c r="D81" s="109">
        <v>2022</v>
      </c>
      <c r="E81" s="109" t="s">
        <v>363</v>
      </c>
      <c r="F81" s="109"/>
      <c r="G81" s="109"/>
      <c r="H81" s="109"/>
      <c r="I81" s="109"/>
      <c r="J81" s="110"/>
      <c r="K81" s="639" t="s">
        <v>1099</v>
      </c>
      <c r="L81" s="110" t="s">
        <v>510</v>
      </c>
      <c r="M81" s="110">
        <v>1</v>
      </c>
      <c r="N81" s="109" t="s">
        <v>1152</v>
      </c>
      <c r="O81" s="110">
        <v>1</v>
      </c>
      <c r="P81" s="110" t="s">
        <v>1113</v>
      </c>
      <c r="Q81" s="111">
        <v>3204.24</v>
      </c>
      <c r="R81" s="111">
        <v>3204.24</v>
      </c>
      <c r="S81" s="111"/>
      <c r="T81" s="111"/>
      <c r="U81" s="111"/>
      <c r="V81" s="109"/>
      <c r="W81" s="671" t="s">
        <v>359</v>
      </c>
      <c r="X81" s="671" t="s">
        <v>1148</v>
      </c>
      <c r="Y81" s="113"/>
    </row>
    <row r="82" spans="1:25" s="114" customFormat="1" ht="38.25" customHeight="1" x14ac:dyDescent="0.25">
      <c r="A82" s="638" t="s">
        <v>1091</v>
      </c>
      <c r="B82" s="638" t="s">
        <v>352</v>
      </c>
      <c r="C82" s="109">
        <v>2022</v>
      </c>
      <c r="D82" s="109">
        <v>2022</v>
      </c>
      <c r="E82" s="109" t="s">
        <v>363</v>
      </c>
      <c r="F82" s="109"/>
      <c r="G82" s="109"/>
      <c r="H82" s="109"/>
      <c r="I82" s="109"/>
      <c r="J82" s="110"/>
      <c r="K82" s="639">
        <v>79417000</v>
      </c>
      <c r="L82" s="110" t="s">
        <v>511</v>
      </c>
      <c r="M82" s="110">
        <v>1</v>
      </c>
      <c r="N82" s="109" t="s">
        <v>1152</v>
      </c>
      <c r="O82" s="110">
        <v>1</v>
      </c>
      <c r="P82" s="110" t="s">
        <v>353</v>
      </c>
      <c r="Q82" s="111">
        <v>450.4</v>
      </c>
      <c r="R82" s="111">
        <v>450.4</v>
      </c>
      <c r="S82" s="111"/>
      <c r="T82" s="111"/>
      <c r="U82" s="111"/>
      <c r="V82" s="109"/>
      <c r="W82" s="671" t="s">
        <v>359</v>
      </c>
      <c r="X82" s="671" t="s">
        <v>1148</v>
      </c>
      <c r="Y82" s="113"/>
    </row>
    <row r="83" spans="1:25" ht="38.25" customHeight="1" x14ac:dyDescent="0.2">
      <c r="A83" s="638" t="s">
        <v>1092</v>
      </c>
      <c r="B83" s="638" t="s">
        <v>352</v>
      </c>
      <c r="C83" s="109">
        <v>2022</v>
      </c>
      <c r="D83" s="109">
        <v>2022</v>
      </c>
      <c r="E83" s="109" t="s">
        <v>363</v>
      </c>
      <c r="F83" s="109"/>
      <c r="G83" s="109"/>
      <c r="H83" s="109"/>
      <c r="I83" s="109"/>
      <c r="J83" s="110"/>
      <c r="K83" s="109" t="s">
        <v>1100</v>
      </c>
      <c r="L83" s="110" t="s">
        <v>322</v>
      </c>
      <c r="M83" s="110">
        <v>1</v>
      </c>
      <c r="N83" s="109" t="s">
        <v>1152</v>
      </c>
      <c r="O83" s="110">
        <v>1</v>
      </c>
      <c r="P83" s="110" t="s">
        <v>1113</v>
      </c>
      <c r="Q83" s="111">
        <v>1493.15</v>
      </c>
      <c r="R83" s="111">
        <v>1493.15</v>
      </c>
      <c r="S83" s="65"/>
      <c r="T83" s="65"/>
      <c r="U83" s="65"/>
      <c r="V83" s="67"/>
      <c r="W83" s="671" t="s">
        <v>359</v>
      </c>
      <c r="X83" s="671" t="s">
        <v>1148</v>
      </c>
      <c r="Y83" s="71"/>
    </row>
    <row r="84" spans="1:25" ht="38.25" customHeight="1" x14ac:dyDescent="0.2">
      <c r="A84" s="638" t="s">
        <v>1093</v>
      </c>
      <c r="B84" s="638" t="s">
        <v>352</v>
      </c>
      <c r="C84" s="109">
        <v>2022</v>
      </c>
      <c r="D84" s="109">
        <v>2022</v>
      </c>
      <c r="E84" s="109" t="s">
        <v>363</v>
      </c>
      <c r="F84" s="109"/>
      <c r="G84" s="109"/>
      <c r="H84" s="109"/>
      <c r="I84" s="109"/>
      <c r="J84" s="110"/>
      <c r="K84" s="109" t="s">
        <v>1101</v>
      </c>
      <c r="L84" s="110" t="s">
        <v>507</v>
      </c>
      <c r="M84" s="110">
        <v>1</v>
      </c>
      <c r="N84" s="109" t="s">
        <v>1153</v>
      </c>
      <c r="O84" s="110">
        <v>1</v>
      </c>
      <c r="P84" s="110" t="s">
        <v>353</v>
      </c>
      <c r="Q84" s="111">
        <v>7094.05</v>
      </c>
      <c r="R84" s="111">
        <v>7094.05</v>
      </c>
      <c r="S84" s="65"/>
      <c r="T84" s="65"/>
      <c r="U84" s="65"/>
      <c r="V84" s="67"/>
      <c r="W84" s="671" t="s">
        <v>359</v>
      </c>
      <c r="X84" s="671" t="s">
        <v>1148</v>
      </c>
      <c r="Y84" s="71"/>
    </row>
    <row r="85" spans="1:25" ht="38.25" customHeight="1" x14ac:dyDescent="0.2">
      <c r="A85" s="638" t="s">
        <v>1094</v>
      </c>
      <c r="B85" s="638" t="s">
        <v>352</v>
      </c>
      <c r="C85" s="109">
        <v>2022</v>
      </c>
      <c r="D85" s="109">
        <v>2022</v>
      </c>
      <c r="E85" s="109" t="s">
        <v>363</v>
      </c>
      <c r="F85" s="109"/>
      <c r="G85" s="109"/>
      <c r="H85" s="109"/>
      <c r="I85" s="109"/>
      <c r="J85" s="110"/>
      <c r="K85" s="109" t="s">
        <v>1101</v>
      </c>
      <c r="L85" s="110" t="s">
        <v>508</v>
      </c>
      <c r="M85" s="110">
        <v>1</v>
      </c>
      <c r="N85" s="109" t="s">
        <v>1152</v>
      </c>
      <c r="O85" s="110">
        <v>1</v>
      </c>
      <c r="P85" s="110" t="s">
        <v>1113</v>
      </c>
      <c r="Q85" s="111">
        <v>4341.0600000000004</v>
      </c>
      <c r="R85" s="111">
        <v>4341.0600000000004</v>
      </c>
      <c r="S85" s="65"/>
      <c r="T85" s="65"/>
      <c r="U85" s="65"/>
      <c r="V85" s="67"/>
      <c r="W85" s="671" t="s">
        <v>359</v>
      </c>
      <c r="X85" s="671" t="s">
        <v>1148</v>
      </c>
      <c r="Y85" s="71"/>
    </row>
    <row r="86" spans="1:25" ht="38.25" customHeight="1" x14ac:dyDescent="0.2">
      <c r="A86" s="638" t="s">
        <v>1095</v>
      </c>
      <c r="B86" s="638" t="s">
        <v>352</v>
      </c>
      <c r="C86" s="109">
        <v>2022</v>
      </c>
      <c r="D86" s="109">
        <v>2022</v>
      </c>
      <c r="E86" s="109" t="s">
        <v>363</v>
      </c>
      <c r="F86" s="109"/>
      <c r="G86" s="109"/>
      <c r="H86" s="109"/>
      <c r="I86" s="109"/>
      <c r="J86" s="110"/>
      <c r="K86" s="109" t="s">
        <v>1101</v>
      </c>
      <c r="L86" s="110" t="s">
        <v>509</v>
      </c>
      <c r="M86" s="110">
        <v>1</v>
      </c>
      <c r="N86" s="109" t="s">
        <v>1152</v>
      </c>
      <c r="O86" s="110">
        <v>1</v>
      </c>
      <c r="P86" s="110" t="s">
        <v>1113</v>
      </c>
      <c r="Q86" s="111">
        <v>5200</v>
      </c>
      <c r="R86" s="111">
        <v>5200</v>
      </c>
      <c r="S86" s="65"/>
      <c r="T86" s="65"/>
      <c r="U86" s="65"/>
      <c r="V86" s="67"/>
      <c r="W86" s="671" t="s">
        <v>359</v>
      </c>
      <c r="X86" s="671" t="s">
        <v>1148</v>
      </c>
      <c r="Y86" s="71"/>
    </row>
    <row r="87" spans="1:25" ht="38.25" customHeight="1" x14ac:dyDescent="0.2">
      <c r="A87" s="638" t="s">
        <v>1096</v>
      </c>
      <c r="B87" s="638" t="s">
        <v>352</v>
      </c>
      <c r="C87" s="109">
        <v>2022</v>
      </c>
      <c r="D87" s="109">
        <v>2022</v>
      </c>
      <c r="E87" s="109" t="s">
        <v>363</v>
      </c>
      <c r="F87" s="109"/>
      <c r="G87" s="109"/>
      <c r="H87" s="109"/>
      <c r="I87" s="109"/>
      <c r="J87" s="110"/>
      <c r="K87" s="109" t="s">
        <v>1101</v>
      </c>
      <c r="L87" s="110" t="s">
        <v>1047</v>
      </c>
      <c r="M87" s="110">
        <v>1</v>
      </c>
      <c r="N87" s="109" t="s">
        <v>1152</v>
      </c>
      <c r="O87" s="110">
        <v>1</v>
      </c>
      <c r="P87" s="110" t="s">
        <v>1113</v>
      </c>
      <c r="Q87" s="111">
        <v>3380</v>
      </c>
      <c r="R87" s="111">
        <v>3380</v>
      </c>
      <c r="S87" s="65"/>
      <c r="T87" s="65"/>
      <c r="U87" s="65"/>
      <c r="V87" s="67"/>
      <c r="W87" s="671" t="s">
        <v>359</v>
      </c>
      <c r="X87" s="671" t="s">
        <v>1148</v>
      </c>
      <c r="Y87" s="71"/>
    </row>
    <row r="88" spans="1:25" ht="38.25" customHeight="1" x14ac:dyDescent="0.25">
      <c r="A88" s="638" t="s">
        <v>1104</v>
      </c>
      <c r="B88" s="638" t="s">
        <v>352</v>
      </c>
      <c r="C88" s="109">
        <v>2022</v>
      </c>
      <c r="D88" s="109">
        <v>2022</v>
      </c>
      <c r="E88" s="109" t="s">
        <v>363</v>
      </c>
      <c r="F88" s="115"/>
      <c r="G88" s="115"/>
      <c r="H88" s="115"/>
      <c r="I88" s="115"/>
      <c r="J88" s="116"/>
      <c r="K88" s="639" t="s">
        <v>1102</v>
      </c>
      <c r="L88" s="116" t="s">
        <v>1048</v>
      </c>
      <c r="M88" s="116">
        <v>1</v>
      </c>
      <c r="N88" s="115" t="s">
        <v>1150</v>
      </c>
      <c r="O88" s="110">
        <v>1</v>
      </c>
      <c r="P88" s="116" t="s">
        <v>353</v>
      </c>
      <c r="Q88" s="117">
        <v>12476.79</v>
      </c>
      <c r="R88" s="111">
        <v>12476.79</v>
      </c>
      <c r="S88" s="78"/>
      <c r="T88" s="65"/>
      <c r="U88" s="65"/>
      <c r="V88" s="67"/>
      <c r="W88" s="671" t="s">
        <v>359</v>
      </c>
      <c r="X88" s="671" t="s">
        <v>1148</v>
      </c>
      <c r="Y88" s="71"/>
    </row>
    <row r="89" spans="1:25" ht="38.25" customHeight="1" x14ac:dyDescent="0.2">
      <c r="A89" s="638" t="s">
        <v>1105</v>
      </c>
      <c r="B89" s="638" t="s">
        <v>352</v>
      </c>
      <c r="C89" s="109">
        <v>2022</v>
      </c>
      <c r="D89" s="109">
        <v>2022</v>
      </c>
      <c r="E89" s="109" t="s">
        <v>363</v>
      </c>
      <c r="F89" s="109"/>
      <c r="G89" s="109"/>
      <c r="H89" s="109"/>
      <c r="I89" s="109"/>
      <c r="J89" s="110"/>
      <c r="K89" s="109" t="s">
        <v>1103</v>
      </c>
      <c r="L89" s="110" t="s">
        <v>324</v>
      </c>
      <c r="M89" s="110">
        <v>1</v>
      </c>
      <c r="N89" s="109" t="s">
        <v>1152</v>
      </c>
      <c r="O89" s="110">
        <v>1</v>
      </c>
      <c r="P89" s="110" t="s">
        <v>353</v>
      </c>
      <c r="Q89" s="111">
        <v>768</v>
      </c>
      <c r="R89" s="111">
        <v>768</v>
      </c>
      <c r="S89" s="65"/>
      <c r="T89" s="65"/>
      <c r="U89" s="65"/>
      <c r="V89" s="67"/>
      <c r="W89" s="671" t="s">
        <v>359</v>
      </c>
      <c r="X89" s="671" t="s">
        <v>1148</v>
      </c>
      <c r="Y89" s="71"/>
    </row>
    <row r="90" spans="1:25" ht="38.25" customHeight="1" x14ac:dyDescent="0.2">
      <c r="A90" s="638" t="s">
        <v>1106</v>
      </c>
      <c r="B90" s="638" t="s">
        <v>352</v>
      </c>
      <c r="C90" s="109">
        <v>2022</v>
      </c>
      <c r="D90" s="109">
        <v>2022</v>
      </c>
      <c r="E90" s="109" t="s">
        <v>363</v>
      </c>
      <c r="F90" s="109"/>
      <c r="G90" s="109"/>
      <c r="H90" s="109"/>
      <c r="I90" s="109"/>
      <c r="J90" s="110"/>
      <c r="K90" s="109" t="s">
        <v>648</v>
      </c>
      <c r="L90" s="110" t="s">
        <v>1049</v>
      </c>
      <c r="M90" s="110">
        <v>1</v>
      </c>
      <c r="N90" s="109" t="s">
        <v>1152</v>
      </c>
      <c r="O90" s="110">
        <v>1</v>
      </c>
      <c r="P90" s="110" t="s">
        <v>353</v>
      </c>
      <c r="Q90" s="111">
        <v>53440</v>
      </c>
      <c r="R90" s="111">
        <v>53440</v>
      </c>
      <c r="S90" s="65"/>
      <c r="T90" s="65"/>
      <c r="U90" s="65"/>
      <c r="V90" s="67"/>
      <c r="W90" s="671" t="s">
        <v>359</v>
      </c>
      <c r="X90" s="671" t="s">
        <v>1148</v>
      </c>
      <c r="Y90" s="71"/>
    </row>
    <row r="91" spans="1:25" ht="38.25" customHeight="1" x14ac:dyDescent="0.2">
      <c r="A91" s="638" t="s">
        <v>1107</v>
      </c>
      <c r="B91" s="638" t="s">
        <v>352</v>
      </c>
      <c r="C91" s="109">
        <v>2022</v>
      </c>
      <c r="D91" s="109">
        <v>2022</v>
      </c>
      <c r="E91" s="109" t="s">
        <v>363</v>
      </c>
      <c r="F91" s="109" t="s">
        <v>363</v>
      </c>
      <c r="G91" s="109" t="s">
        <v>363</v>
      </c>
      <c r="H91" s="109" t="s">
        <v>363</v>
      </c>
      <c r="I91" s="109" t="s">
        <v>355</v>
      </c>
      <c r="J91" s="110" t="s">
        <v>406</v>
      </c>
      <c r="K91" s="109" t="s">
        <v>447</v>
      </c>
      <c r="L91" s="110" t="s">
        <v>525</v>
      </c>
      <c r="M91" s="110">
        <v>2</v>
      </c>
      <c r="N91" s="109" t="s">
        <v>1151</v>
      </c>
      <c r="O91" s="110">
        <v>1</v>
      </c>
      <c r="P91" s="110" t="s">
        <v>1113</v>
      </c>
      <c r="Q91" s="111">
        <v>13701.4</v>
      </c>
      <c r="R91" s="111">
        <v>13701.4</v>
      </c>
      <c r="S91" s="65"/>
      <c r="T91" s="65"/>
      <c r="U91" s="65"/>
      <c r="V91" s="67"/>
      <c r="W91" s="671" t="s">
        <v>359</v>
      </c>
      <c r="X91" s="671" t="s">
        <v>1148</v>
      </c>
      <c r="Y91" s="71"/>
    </row>
    <row r="92" spans="1:25" ht="38.25" customHeight="1" x14ac:dyDescent="0.2">
      <c r="A92" s="638" t="s">
        <v>1108</v>
      </c>
      <c r="B92" s="638" t="s">
        <v>352</v>
      </c>
      <c r="C92" s="109">
        <v>2022</v>
      </c>
      <c r="D92" s="109">
        <v>2022</v>
      </c>
      <c r="E92" s="109" t="s">
        <v>363</v>
      </c>
      <c r="F92" s="109" t="s">
        <v>363</v>
      </c>
      <c r="G92" s="109" t="s">
        <v>363</v>
      </c>
      <c r="H92" s="109" t="s">
        <v>363</v>
      </c>
      <c r="I92" s="109" t="s">
        <v>355</v>
      </c>
      <c r="J92" s="110" t="s">
        <v>406</v>
      </c>
      <c r="K92" s="109" t="s">
        <v>447</v>
      </c>
      <c r="L92" s="110" t="s">
        <v>524</v>
      </c>
      <c r="M92" s="110">
        <v>2</v>
      </c>
      <c r="N92" s="109" t="s">
        <v>1153</v>
      </c>
      <c r="O92" s="110">
        <v>1</v>
      </c>
      <c r="P92" s="110" t="s">
        <v>1113</v>
      </c>
      <c r="Q92" s="111">
        <v>7472</v>
      </c>
      <c r="R92" s="111">
        <v>7472</v>
      </c>
      <c r="S92" s="65"/>
      <c r="T92" s="65"/>
      <c r="U92" s="65"/>
      <c r="V92" s="67"/>
      <c r="W92" s="671" t="s">
        <v>359</v>
      </c>
      <c r="X92" s="671" t="s">
        <v>1148</v>
      </c>
      <c r="Y92" s="71"/>
    </row>
    <row r="93" spans="1:25" ht="38.25" customHeight="1" x14ac:dyDescent="0.2">
      <c r="A93" s="638" t="s">
        <v>1110</v>
      </c>
      <c r="B93" s="638" t="s">
        <v>352</v>
      </c>
      <c r="C93" s="109">
        <v>2022</v>
      </c>
      <c r="D93" s="109">
        <v>2022</v>
      </c>
      <c r="E93" s="109" t="s">
        <v>363</v>
      </c>
      <c r="F93" s="109" t="s">
        <v>363</v>
      </c>
      <c r="G93" s="109" t="s">
        <v>363</v>
      </c>
      <c r="H93" s="109" t="s">
        <v>363</v>
      </c>
      <c r="I93" s="109" t="s">
        <v>355</v>
      </c>
      <c r="J93" s="110" t="s">
        <v>406</v>
      </c>
      <c r="K93" s="109" t="s">
        <v>447</v>
      </c>
      <c r="L93" s="110" t="s">
        <v>526</v>
      </c>
      <c r="M93" s="110">
        <v>2</v>
      </c>
      <c r="N93" s="109" t="s">
        <v>1151</v>
      </c>
      <c r="O93" s="110">
        <v>1</v>
      </c>
      <c r="P93" s="110" t="s">
        <v>1113</v>
      </c>
      <c r="Q93" s="111">
        <v>4428</v>
      </c>
      <c r="R93" s="111">
        <v>4428</v>
      </c>
      <c r="S93" s="65"/>
      <c r="T93" s="65"/>
      <c r="U93" s="65"/>
      <c r="V93" s="67"/>
      <c r="W93" s="671" t="s">
        <v>359</v>
      </c>
      <c r="X93" s="671" t="s">
        <v>1148</v>
      </c>
      <c r="Y93" s="71"/>
    </row>
    <row r="94" spans="1:25" ht="38.25" customHeight="1" x14ac:dyDescent="0.2">
      <c r="A94" s="638" t="s">
        <v>1111</v>
      </c>
      <c r="B94" s="638" t="s">
        <v>352</v>
      </c>
      <c r="C94" s="109">
        <v>2022</v>
      </c>
      <c r="D94" s="109">
        <v>2022</v>
      </c>
      <c r="E94" s="109" t="s">
        <v>353</v>
      </c>
      <c r="F94" s="109"/>
      <c r="G94" s="109"/>
      <c r="H94" s="109"/>
      <c r="I94" s="109"/>
      <c r="J94" s="110"/>
      <c r="K94" s="109">
        <v>48223000</v>
      </c>
      <c r="L94" s="110" t="s">
        <v>1050</v>
      </c>
      <c r="M94" s="110">
        <v>1</v>
      </c>
      <c r="N94" s="109" t="s">
        <v>1151</v>
      </c>
      <c r="O94" s="110">
        <v>1</v>
      </c>
      <c r="P94" s="110" t="s">
        <v>1113</v>
      </c>
      <c r="Q94" s="111">
        <v>3231.3199999999997</v>
      </c>
      <c r="R94" s="111">
        <v>3231.3199999999997</v>
      </c>
      <c r="S94" s="65"/>
      <c r="T94" s="65"/>
      <c r="U94" s="65"/>
      <c r="V94" s="67"/>
      <c r="W94" s="671" t="s">
        <v>359</v>
      </c>
      <c r="X94" s="671" t="s">
        <v>1148</v>
      </c>
      <c r="Y94" s="71"/>
    </row>
    <row r="95" spans="1:25" ht="38.25" customHeight="1" x14ac:dyDescent="0.2">
      <c r="A95" s="638" t="s">
        <v>1117</v>
      </c>
      <c r="B95" s="638" t="s">
        <v>352</v>
      </c>
      <c r="C95" s="109">
        <v>2022</v>
      </c>
      <c r="D95" s="109">
        <v>2022</v>
      </c>
      <c r="E95" s="109" t="s">
        <v>363</v>
      </c>
      <c r="F95" s="109" t="s">
        <v>363</v>
      </c>
      <c r="G95" s="109" t="s">
        <v>363</v>
      </c>
      <c r="H95" s="109" t="s">
        <v>363</v>
      </c>
      <c r="I95" s="109" t="s">
        <v>355</v>
      </c>
      <c r="J95" s="110" t="s">
        <v>356</v>
      </c>
      <c r="K95" s="109" t="s">
        <v>450</v>
      </c>
      <c r="L95" s="110" t="s">
        <v>527</v>
      </c>
      <c r="M95" s="110">
        <v>2</v>
      </c>
      <c r="N95" s="109" t="s">
        <v>1154</v>
      </c>
      <c r="O95" s="110">
        <v>1</v>
      </c>
      <c r="P95" s="110" t="s">
        <v>1113</v>
      </c>
      <c r="Q95" s="111">
        <v>3182</v>
      </c>
      <c r="R95" s="111">
        <v>3182</v>
      </c>
      <c r="S95" s="65"/>
      <c r="T95" s="65"/>
      <c r="U95" s="65"/>
      <c r="V95" s="67"/>
      <c r="W95" s="671" t="s">
        <v>359</v>
      </c>
      <c r="X95" s="671" t="s">
        <v>1148</v>
      </c>
      <c r="Y95" s="71"/>
    </row>
    <row r="96" spans="1:25" ht="38.25" customHeight="1" x14ac:dyDescent="0.2">
      <c r="A96" s="638"/>
      <c r="B96" s="638"/>
      <c r="C96" s="109"/>
      <c r="D96" s="109"/>
      <c r="E96" s="109"/>
      <c r="F96" s="109"/>
      <c r="G96" s="109"/>
      <c r="H96" s="109"/>
      <c r="I96" s="109"/>
      <c r="J96" s="110"/>
      <c r="K96" s="109"/>
      <c r="L96" s="110"/>
      <c r="M96" s="110"/>
      <c r="N96" s="109"/>
      <c r="O96" s="110"/>
      <c r="P96" s="110"/>
      <c r="Q96" s="111"/>
      <c r="R96" s="675"/>
      <c r="S96" s="675"/>
      <c r="T96" s="675"/>
      <c r="U96" s="675"/>
      <c r="V96" s="67"/>
      <c r="W96" s="69"/>
      <c r="X96" s="70"/>
      <c r="Y96" s="71"/>
    </row>
    <row r="97" spans="1:25" ht="38.25" customHeight="1" x14ac:dyDescent="0.2">
      <c r="A97" s="682" t="s">
        <v>1109</v>
      </c>
      <c r="B97" s="682"/>
      <c r="C97" s="683"/>
      <c r="D97" s="683"/>
      <c r="E97" s="683"/>
      <c r="F97" s="683"/>
      <c r="G97" s="683"/>
      <c r="H97" s="683"/>
      <c r="I97" s="683"/>
      <c r="J97" s="684"/>
      <c r="K97" s="683"/>
      <c r="L97" s="684"/>
      <c r="M97" s="684"/>
      <c r="N97" s="683"/>
      <c r="O97" s="684"/>
      <c r="P97" s="684"/>
      <c r="Q97" s="685"/>
      <c r="R97" s="675"/>
      <c r="S97" s="675"/>
      <c r="T97" s="675"/>
      <c r="U97" s="675"/>
      <c r="V97" s="67"/>
      <c r="W97" s="69"/>
      <c r="X97" s="70"/>
      <c r="Y97" s="71"/>
    </row>
    <row r="98" spans="1:25" ht="38.25" customHeight="1" x14ac:dyDescent="0.2">
      <c r="A98" s="682" t="s">
        <v>1112</v>
      </c>
      <c r="B98" s="682" t="s">
        <v>352</v>
      </c>
      <c r="C98" s="683">
        <v>2022</v>
      </c>
      <c r="D98" s="683">
        <v>2022</v>
      </c>
      <c r="E98" s="683" t="s">
        <v>363</v>
      </c>
      <c r="F98" s="683" t="s">
        <v>353</v>
      </c>
      <c r="G98" s="683" t="s">
        <v>363</v>
      </c>
      <c r="H98" s="683" t="s">
        <v>363</v>
      </c>
      <c r="I98" s="683" t="s">
        <v>355</v>
      </c>
      <c r="J98" s="684" t="s">
        <v>364</v>
      </c>
      <c r="K98" s="683" t="s">
        <v>365</v>
      </c>
      <c r="L98" s="684" t="s">
        <v>1053</v>
      </c>
      <c r="M98" s="684">
        <v>1</v>
      </c>
      <c r="N98" s="683" t="s">
        <v>1150</v>
      </c>
      <c r="O98" s="684">
        <v>1</v>
      </c>
      <c r="P98" s="684" t="s">
        <v>353</v>
      </c>
      <c r="Q98" s="685">
        <v>11000</v>
      </c>
      <c r="R98" s="685">
        <v>11000</v>
      </c>
      <c r="S98" s="65"/>
      <c r="T98" s="65"/>
      <c r="U98" s="65"/>
      <c r="V98" s="67"/>
      <c r="W98" s="671" t="s">
        <v>359</v>
      </c>
      <c r="X98" s="671" t="s">
        <v>1148</v>
      </c>
      <c r="Y98" s="71"/>
    </row>
    <row r="99" spans="1:25" ht="38.25" customHeight="1" x14ac:dyDescent="0.2">
      <c r="A99" s="682" t="s">
        <v>1118</v>
      </c>
      <c r="B99" s="682" t="s">
        <v>352</v>
      </c>
      <c r="C99" s="683">
        <v>2022</v>
      </c>
      <c r="D99" s="683">
        <v>2022</v>
      </c>
      <c r="E99" s="683" t="s">
        <v>363</v>
      </c>
      <c r="F99" s="683" t="s">
        <v>363</v>
      </c>
      <c r="G99" s="683" t="s">
        <v>363</v>
      </c>
      <c r="H99" s="683" t="s">
        <v>363</v>
      </c>
      <c r="I99" s="683" t="s">
        <v>355</v>
      </c>
      <c r="J99" s="684" t="s">
        <v>406</v>
      </c>
      <c r="K99" s="683" t="s">
        <v>422</v>
      </c>
      <c r="L99" s="684" t="s">
        <v>1054</v>
      </c>
      <c r="M99" s="684">
        <v>1</v>
      </c>
      <c r="N99" s="683" t="s">
        <v>1152</v>
      </c>
      <c r="O99" s="684">
        <v>1</v>
      </c>
      <c r="P99" s="684" t="s">
        <v>353</v>
      </c>
      <c r="Q99" s="685">
        <v>62701.07</v>
      </c>
      <c r="R99" s="685">
        <v>0</v>
      </c>
      <c r="S99" s="65"/>
      <c r="T99" s="65"/>
      <c r="U99" s="65"/>
      <c r="V99" s="67"/>
      <c r="W99" s="671" t="s">
        <v>359</v>
      </c>
      <c r="X99" s="671" t="s">
        <v>1148</v>
      </c>
      <c r="Y99" s="71"/>
    </row>
    <row r="100" spans="1:25" ht="38.25" customHeight="1" x14ac:dyDescent="0.2">
      <c r="A100" s="682" t="s">
        <v>669</v>
      </c>
      <c r="B100" s="682" t="s">
        <v>352</v>
      </c>
      <c r="C100" s="683">
        <v>2022</v>
      </c>
      <c r="D100" s="683">
        <v>2022</v>
      </c>
      <c r="E100" s="683" t="s">
        <v>363</v>
      </c>
      <c r="F100" s="683"/>
      <c r="G100" s="683"/>
      <c r="H100" s="683"/>
      <c r="I100" s="683"/>
      <c r="J100" s="684" t="s">
        <v>406</v>
      </c>
      <c r="K100" s="683" t="s">
        <v>456</v>
      </c>
      <c r="L100" s="684" t="s">
        <v>1056</v>
      </c>
      <c r="M100" s="684">
        <v>1</v>
      </c>
      <c r="N100" s="683" t="s">
        <v>1152</v>
      </c>
      <c r="O100" s="684">
        <v>1</v>
      </c>
      <c r="P100" s="684" t="s">
        <v>353</v>
      </c>
      <c r="Q100" s="685">
        <v>5000</v>
      </c>
      <c r="R100" s="685">
        <v>30000</v>
      </c>
      <c r="S100" s="65"/>
      <c r="T100" s="65"/>
      <c r="U100" s="65"/>
      <c r="V100" s="67"/>
      <c r="W100" s="671" t="s">
        <v>359</v>
      </c>
      <c r="X100" s="671" t="s">
        <v>1148</v>
      </c>
      <c r="Y100" s="71"/>
    </row>
    <row r="101" spans="1:25" ht="38.25" customHeight="1" x14ac:dyDescent="0.2">
      <c r="A101" s="682" t="s">
        <v>1119</v>
      </c>
      <c r="B101" s="682" t="s">
        <v>352</v>
      </c>
      <c r="C101" s="683">
        <v>2022</v>
      </c>
      <c r="D101" s="683">
        <v>2022</v>
      </c>
      <c r="E101" s="683" t="s">
        <v>363</v>
      </c>
      <c r="F101" s="683"/>
      <c r="G101" s="683"/>
      <c r="H101" s="683"/>
      <c r="I101" s="683"/>
      <c r="J101" s="684" t="s">
        <v>406</v>
      </c>
      <c r="K101" s="683" t="s">
        <v>654</v>
      </c>
      <c r="L101" s="686" t="s">
        <v>1057</v>
      </c>
      <c r="M101" s="684">
        <v>1</v>
      </c>
      <c r="N101" s="683" t="s">
        <v>1152</v>
      </c>
      <c r="O101" s="684">
        <v>1</v>
      </c>
      <c r="P101" s="684" t="s">
        <v>353</v>
      </c>
      <c r="Q101" s="685">
        <v>28000</v>
      </c>
      <c r="R101" s="685">
        <v>40000</v>
      </c>
      <c r="S101" s="65"/>
      <c r="T101" s="65"/>
      <c r="U101" s="65"/>
      <c r="V101" s="67"/>
      <c r="W101" s="671" t="s">
        <v>359</v>
      </c>
      <c r="X101" s="671" t="s">
        <v>1148</v>
      </c>
      <c r="Y101" s="71"/>
    </row>
    <row r="102" spans="1:25" ht="38.25" customHeight="1" x14ac:dyDescent="0.2">
      <c r="A102" s="682" t="s">
        <v>670</v>
      </c>
      <c r="B102" s="682" t="s">
        <v>352</v>
      </c>
      <c r="C102" s="683">
        <v>2022</v>
      </c>
      <c r="D102" s="683">
        <v>2022</v>
      </c>
      <c r="E102" s="683" t="s">
        <v>363</v>
      </c>
      <c r="F102" s="683" t="s">
        <v>363</v>
      </c>
      <c r="G102" s="683" t="s">
        <v>363</v>
      </c>
      <c r="H102" s="683" t="s">
        <v>363</v>
      </c>
      <c r="I102" s="683" t="s">
        <v>355</v>
      </c>
      <c r="J102" s="684" t="s">
        <v>406</v>
      </c>
      <c r="K102" s="683" t="s">
        <v>428</v>
      </c>
      <c r="L102" s="684" t="s">
        <v>1058</v>
      </c>
      <c r="M102" s="684">
        <v>1</v>
      </c>
      <c r="N102" s="683" t="s">
        <v>1151</v>
      </c>
      <c r="O102" s="684">
        <v>1</v>
      </c>
      <c r="P102" s="684" t="s">
        <v>353</v>
      </c>
      <c r="Q102" s="685">
        <v>5031.68</v>
      </c>
      <c r="R102" s="685">
        <v>5031.68</v>
      </c>
      <c r="S102" s="65"/>
      <c r="T102" s="65"/>
      <c r="U102" s="65"/>
      <c r="V102" s="67"/>
      <c r="W102" s="671" t="s">
        <v>359</v>
      </c>
      <c r="X102" s="671" t="s">
        <v>1148</v>
      </c>
      <c r="Y102" s="71"/>
    </row>
    <row r="103" spans="1:25" ht="38.25" customHeight="1" x14ac:dyDescent="0.2">
      <c r="A103" s="682" t="s">
        <v>1120</v>
      </c>
      <c r="B103" s="682" t="s">
        <v>352</v>
      </c>
      <c r="C103" s="683">
        <v>2022</v>
      </c>
      <c r="D103" s="683">
        <v>2022</v>
      </c>
      <c r="E103" s="683" t="s">
        <v>363</v>
      </c>
      <c r="F103" s="683"/>
      <c r="G103" s="683"/>
      <c r="H103" s="683"/>
      <c r="I103" s="683"/>
      <c r="J103" s="684" t="s">
        <v>406</v>
      </c>
      <c r="K103" s="683" t="s">
        <v>660</v>
      </c>
      <c r="L103" s="684" t="s">
        <v>1048</v>
      </c>
      <c r="M103" s="684">
        <v>1</v>
      </c>
      <c r="N103" s="683" t="s">
        <v>1150</v>
      </c>
      <c r="O103" s="684">
        <v>1</v>
      </c>
      <c r="P103" s="684" t="s">
        <v>353</v>
      </c>
      <c r="Q103" s="685">
        <v>500</v>
      </c>
      <c r="R103" s="685">
        <v>500</v>
      </c>
      <c r="S103" s="65"/>
      <c r="T103" s="65"/>
      <c r="U103" s="65"/>
      <c r="V103" s="67"/>
      <c r="W103" s="671" t="s">
        <v>359</v>
      </c>
      <c r="X103" s="671" t="s">
        <v>1148</v>
      </c>
      <c r="Y103" s="71"/>
    </row>
    <row r="104" spans="1:25" ht="38.25" customHeight="1" x14ac:dyDescent="0.2">
      <c r="A104" s="682"/>
      <c r="B104" s="682"/>
      <c r="C104" s="683"/>
      <c r="D104" s="683"/>
      <c r="E104" s="683"/>
      <c r="F104" s="683"/>
      <c r="G104" s="683"/>
      <c r="H104" s="683"/>
      <c r="I104" s="683"/>
      <c r="J104" s="684"/>
      <c r="K104" s="683"/>
      <c r="L104" s="684"/>
      <c r="M104" s="684"/>
      <c r="N104" s="683"/>
      <c r="O104" s="684"/>
      <c r="P104" s="684"/>
      <c r="Q104" s="685"/>
      <c r="R104" s="675"/>
      <c r="S104" s="675"/>
      <c r="T104" s="675"/>
      <c r="U104" s="675"/>
      <c r="V104" s="67"/>
      <c r="W104" s="69"/>
      <c r="X104" s="70"/>
      <c r="Y104" s="71"/>
    </row>
    <row r="105" spans="1:25" ht="38.25" customHeight="1" x14ac:dyDescent="0.2">
      <c r="A105" s="66"/>
      <c r="B105" s="66"/>
      <c r="C105" s="67"/>
      <c r="D105" s="67"/>
      <c r="E105" s="67"/>
      <c r="F105" s="67"/>
      <c r="G105" s="67"/>
      <c r="H105" s="67"/>
      <c r="I105" s="67"/>
      <c r="J105" s="68"/>
      <c r="K105" s="67"/>
      <c r="L105" s="68"/>
      <c r="M105" s="68"/>
      <c r="N105" s="67"/>
      <c r="O105" s="68"/>
      <c r="P105" s="68"/>
      <c r="Q105" s="65"/>
      <c r="R105" s="65"/>
      <c r="S105" s="65"/>
      <c r="T105" s="65"/>
      <c r="U105" s="65"/>
      <c r="V105" s="67"/>
      <c r="W105" s="69"/>
      <c r="X105" s="79"/>
      <c r="Y105" s="80"/>
    </row>
    <row r="106" spans="1:25" ht="15" customHeight="1" x14ac:dyDescent="0.2">
      <c r="A106" s="81"/>
      <c r="Q106" s="82">
        <f>SUM(Q11:Q105)</f>
        <v>2955251.1799999997</v>
      </c>
      <c r="R106" s="82">
        <f>SUM(R11:R105)</f>
        <v>2604887.59</v>
      </c>
      <c r="S106" s="82">
        <f>SUM(S11:S105)</f>
        <v>0</v>
      </c>
      <c r="T106" s="82">
        <f>SUM(T11:T105)</f>
        <v>0</v>
      </c>
      <c r="U106" s="82" t="s">
        <v>458</v>
      </c>
    </row>
    <row r="107" spans="1:25" x14ac:dyDescent="0.2">
      <c r="A107" s="66"/>
      <c r="Q107" s="640">
        <f>'fornit. e servizi 2022-23 SP '!Q115+'fornit.- serv.def 22-23 tributi'!Q73+'fornit.- serv.22-23 SMS'!Q22</f>
        <v>2955251.18</v>
      </c>
      <c r="R107" s="640">
        <f>'fornit. e servizi 2022-23 SP '!R115+'fornit.- serv.def 22-23 tributi'!R73+'fornit.- serv.22-23 SMS'!R22</f>
        <v>2604887.5900000003</v>
      </c>
    </row>
    <row r="108" spans="1:25" s="641" customFormat="1" x14ac:dyDescent="0.2">
      <c r="A108" s="739" t="s">
        <v>459</v>
      </c>
      <c r="B108" s="739"/>
      <c r="C108" s="739"/>
      <c r="D108" s="739"/>
      <c r="E108" s="739"/>
      <c r="F108" s="739"/>
      <c r="G108" s="739"/>
      <c r="H108" s="739"/>
      <c r="I108" s="739"/>
      <c r="J108" s="739"/>
      <c r="K108" s="739"/>
      <c r="L108" s="739"/>
    </row>
    <row r="109" spans="1:25" s="641" customFormat="1" x14ac:dyDescent="0.2">
      <c r="A109" s="740" t="s">
        <v>460</v>
      </c>
      <c r="B109" s="740"/>
      <c r="C109" s="740"/>
      <c r="D109" s="741"/>
      <c r="E109" s="741"/>
      <c r="F109" s="741"/>
      <c r="G109" s="741"/>
      <c r="H109" s="741"/>
      <c r="I109" s="741"/>
      <c r="J109" s="741"/>
      <c r="K109" s="741"/>
      <c r="L109" s="741"/>
    </row>
    <row r="110" spans="1:25" s="641" customFormat="1" x14ac:dyDescent="0.2">
      <c r="A110" s="731" t="s">
        <v>461</v>
      </c>
      <c r="B110" s="731"/>
      <c r="C110" s="731"/>
      <c r="D110" s="731"/>
      <c r="E110" s="731"/>
      <c r="F110" s="731"/>
      <c r="G110" s="731"/>
      <c r="H110" s="731"/>
      <c r="I110" s="731"/>
      <c r="J110" s="731"/>
      <c r="K110" s="731"/>
      <c r="L110" s="731"/>
      <c r="Q110" s="642" t="s">
        <v>462</v>
      </c>
    </row>
    <row r="111" spans="1:25" s="641" customFormat="1" ht="25.5" customHeight="1" x14ac:dyDescent="0.2">
      <c r="A111" s="731" t="s">
        <v>463</v>
      </c>
      <c r="B111" s="731"/>
      <c r="C111" s="731"/>
      <c r="D111" s="731"/>
      <c r="E111" s="731"/>
      <c r="F111" s="731"/>
      <c r="G111" s="731"/>
      <c r="H111" s="731"/>
      <c r="I111" s="731"/>
      <c r="J111" s="731"/>
      <c r="K111" s="731"/>
      <c r="L111" s="731"/>
      <c r="M111" s="731"/>
      <c r="N111" s="731"/>
      <c r="Q111" s="642" t="s">
        <v>464</v>
      </c>
      <c r="Y111" s="642"/>
    </row>
    <row r="112" spans="1:25" s="641" customFormat="1" x14ac:dyDescent="0.2">
      <c r="A112" s="731" t="s">
        <v>465</v>
      </c>
      <c r="B112" s="735"/>
      <c r="C112" s="735"/>
      <c r="D112" s="735"/>
      <c r="E112" s="735"/>
      <c r="F112" s="735"/>
      <c r="G112" s="735"/>
      <c r="H112" s="735"/>
      <c r="I112" s="735"/>
      <c r="J112" s="735"/>
      <c r="K112" s="735"/>
      <c r="L112" s="735"/>
      <c r="Q112" s="642"/>
      <c r="Y112" s="642"/>
    </row>
    <row r="113" spans="1:24" s="641" customFormat="1" x14ac:dyDescent="0.2">
      <c r="A113" s="731" t="s">
        <v>466</v>
      </c>
      <c r="B113" s="731"/>
      <c r="C113" s="731"/>
      <c r="D113" s="731"/>
      <c r="E113" s="731"/>
      <c r="F113" s="731"/>
      <c r="G113" s="731"/>
      <c r="H113" s="731"/>
      <c r="I113" s="731"/>
      <c r="J113" s="731"/>
      <c r="K113" s="731"/>
      <c r="L113" s="731"/>
    </row>
    <row r="114" spans="1:24" s="641" customFormat="1" ht="12.75" customHeight="1" x14ac:dyDescent="0.2">
      <c r="A114" s="731" t="s">
        <v>467</v>
      </c>
      <c r="B114" s="731"/>
      <c r="C114" s="731"/>
      <c r="D114" s="731"/>
      <c r="E114" s="731"/>
      <c r="F114" s="731"/>
      <c r="G114" s="731"/>
      <c r="H114" s="731"/>
      <c r="I114" s="731"/>
      <c r="J114" s="731"/>
      <c r="K114" s="731"/>
      <c r="L114" s="643"/>
      <c r="P114" s="736" t="s">
        <v>468</v>
      </c>
      <c r="Q114" s="737"/>
      <c r="R114" s="737"/>
      <c r="S114" s="737"/>
      <c r="T114" s="737"/>
      <c r="U114" s="737"/>
      <c r="V114" s="737"/>
      <c r="W114" s="737"/>
      <c r="X114" s="738"/>
    </row>
    <row r="115" spans="1:24" s="641" customFormat="1" ht="12.75" customHeight="1" x14ac:dyDescent="0.2">
      <c r="A115" s="731" t="s">
        <v>469</v>
      </c>
      <c r="B115" s="731"/>
      <c r="C115" s="731"/>
      <c r="D115" s="731"/>
      <c r="E115" s="731"/>
      <c r="F115" s="731"/>
      <c r="G115" s="731"/>
      <c r="H115" s="731"/>
      <c r="I115" s="731"/>
      <c r="J115" s="731"/>
      <c r="K115" s="731"/>
      <c r="P115" s="732" t="s">
        <v>1114</v>
      </c>
      <c r="Q115" s="733"/>
      <c r="R115" s="733"/>
      <c r="S115" s="733"/>
      <c r="T115" s="734"/>
      <c r="U115" s="644" t="s">
        <v>1115</v>
      </c>
      <c r="V115" s="645"/>
      <c r="W115" s="645"/>
      <c r="X115" s="646"/>
    </row>
    <row r="116" spans="1:24" s="641" customFormat="1" ht="12.75" customHeight="1" x14ac:dyDescent="0.2">
      <c r="A116" s="731" t="s">
        <v>472</v>
      </c>
      <c r="B116" s="731"/>
      <c r="C116" s="731"/>
      <c r="D116" s="731"/>
      <c r="E116" s="731"/>
      <c r="F116" s="731"/>
      <c r="G116" s="731"/>
      <c r="H116" s="731"/>
      <c r="I116" s="731"/>
      <c r="J116" s="731"/>
      <c r="K116" s="731"/>
      <c r="L116" s="731"/>
      <c r="M116" s="731"/>
      <c r="N116" s="731"/>
      <c r="P116" s="647"/>
      <c r="Q116" s="648"/>
      <c r="R116" s="648"/>
      <c r="S116" s="648"/>
      <c r="T116" s="648"/>
      <c r="U116" s="649"/>
      <c r="V116" s="645"/>
      <c r="W116" s="645"/>
      <c r="X116" s="646"/>
    </row>
    <row r="117" spans="1:24" s="641" customFormat="1" ht="12.75" customHeight="1" x14ac:dyDescent="0.2">
      <c r="A117" s="731" t="s">
        <v>473</v>
      </c>
      <c r="B117" s="731"/>
      <c r="C117" s="731"/>
      <c r="D117" s="731"/>
      <c r="E117" s="731"/>
      <c r="F117" s="731"/>
      <c r="G117" s="731"/>
      <c r="H117" s="731"/>
      <c r="I117" s="731"/>
      <c r="J117" s="731"/>
      <c r="K117" s="731"/>
      <c r="L117" s="731"/>
      <c r="M117" s="731"/>
      <c r="N117" s="731"/>
      <c r="P117" s="736" t="s">
        <v>474</v>
      </c>
      <c r="Q117" s="737"/>
      <c r="R117" s="737"/>
      <c r="S117" s="737"/>
      <c r="T117" s="737"/>
      <c r="U117" s="737"/>
      <c r="V117" s="737"/>
      <c r="W117" s="737"/>
      <c r="X117" s="738"/>
    </row>
    <row r="118" spans="1:24" s="641" customFormat="1" ht="12" customHeight="1" x14ac:dyDescent="0.25">
      <c r="A118" s="731" t="s">
        <v>475</v>
      </c>
      <c r="B118" s="731"/>
      <c r="C118" s="731"/>
      <c r="D118" s="731"/>
      <c r="E118" s="731"/>
      <c r="F118" s="731"/>
      <c r="G118" s="731"/>
      <c r="H118" s="731"/>
      <c r="I118" s="731"/>
      <c r="J118" s="731"/>
      <c r="K118" s="731"/>
      <c r="L118" s="731"/>
      <c r="M118" s="731"/>
      <c r="N118" s="731"/>
      <c r="P118" s="742" t="s">
        <v>476</v>
      </c>
      <c r="Q118" s="743"/>
      <c r="R118" s="743"/>
      <c r="S118" s="743"/>
      <c r="T118" s="744"/>
      <c r="U118" s="650" t="s">
        <v>477</v>
      </c>
      <c r="V118" s="650" t="s">
        <v>478</v>
      </c>
      <c r="W118" s="745" t="s">
        <v>479</v>
      </c>
      <c r="X118" s="746"/>
    </row>
    <row r="119" spans="1:24" s="641" customFormat="1" ht="12.75" customHeight="1" x14ac:dyDescent="0.2">
      <c r="A119" s="731" t="s">
        <v>480</v>
      </c>
      <c r="B119" s="731"/>
      <c r="C119" s="731"/>
      <c r="D119" s="731"/>
      <c r="E119" s="731"/>
      <c r="F119" s="731"/>
      <c r="G119" s="731"/>
      <c r="H119" s="731"/>
      <c r="I119" s="731"/>
      <c r="J119" s="731"/>
      <c r="K119" s="731"/>
      <c r="L119" s="731"/>
      <c r="M119" s="731"/>
      <c r="N119" s="731"/>
      <c r="P119" s="747" t="s">
        <v>481</v>
      </c>
      <c r="Q119" s="748"/>
      <c r="R119" s="748"/>
      <c r="S119" s="748"/>
      <c r="T119" s="749"/>
      <c r="U119" s="644">
        <v>2955251.18</v>
      </c>
      <c r="V119" s="651">
        <v>2604887.59</v>
      </c>
      <c r="W119" s="747" t="s">
        <v>482</v>
      </c>
      <c r="X119" s="749"/>
    </row>
    <row r="120" spans="1:24" s="652" customFormat="1" ht="12.75" customHeight="1" x14ac:dyDescent="0.2">
      <c r="A120" s="731" t="s">
        <v>483</v>
      </c>
      <c r="B120" s="731"/>
      <c r="C120" s="731"/>
      <c r="D120" s="731"/>
      <c r="E120" s="731"/>
      <c r="F120" s="731"/>
      <c r="G120" s="731"/>
      <c r="H120" s="731"/>
      <c r="I120" s="731"/>
      <c r="J120" s="731"/>
      <c r="K120" s="731"/>
      <c r="L120" s="731"/>
      <c r="M120" s="731"/>
      <c r="N120" s="731"/>
      <c r="P120" s="747" t="s">
        <v>484</v>
      </c>
      <c r="Q120" s="748"/>
      <c r="R120" s="748"/>
      <c r="S120" s="748"/>
      <c r="T120" s="749"/>
      <c r="U120" s="644" t="s">
        <v>482</v>
      </c>
      <c r="V120" s="651" t="s">
        <v>482</v>
      </c>
      <c r="W120" s="747" t="s">
        <v>482</v>
      </c>
      <c r="X120" s="749"/>
    </row>
    <row r="121" spans="1:24" s="652" customFormat="1" ht="12.75" customHeight="1" x14ac:dyDescent="0.2">
      <c r="A121" s="731" t="s">
        <v>1156</v>
      </c>
      <c r="B121" s="731"/>
      <c r="C121" s="731"/>
      <c r="D121" s="731"/>
      <c r="E121" s="731"/>
      <c r="F121" s="731"/>
      <c r="G121" s="731"/>
      <c r="H121" s="731"/>
      <c r="I121" s="731"/>
      <c r="J121" s="731"/>
      <c r="K121" s="731"/>
      <c r="L121" s="731"/>
      <c r="M121" s="731"/>
      <c r="N121" s="731"/>
      <c r="P121" s="747" t="s">
        <v>485</v>
      </c>
      <c r="Q121" s="748"/>
      <c r="R121" s="748"/>
      <c r="S121" s="748"/>
      <c r="T121" s="749"/>
      <c r="U121" s="644">
        <v>2955251.18</v>
      </c>
      <c r="V121" s="653">
        <v>2694887.59</v>
      </c>
      <c r="W121" s="747">
        <v>2604887.59</v>
      </c>
      <c r="X121" s="749"/>
    </row>
    <row r="122" spans="1:24" s="652" customFormat="1" ht="12.75" customHeight="1" x14ac:dyDescent="0.2">
      <c r="A122" s="654"/>
      <c r="B122" s="654"/>
      <c r="C122" s="654"/>
      <c r="D122" s="654"/>
      <c r="E122" s="654"/>
      <c r="F122" s="654"/>
      <c r="G122" s="654"/>
      <c r="H122" s="654"/>
      <c r="I122" s="654"/>
      <c r="J122" s="654"/>
      <c r="K122" s="654"/>
      <c r="L122" s="654"/>
      <c r="M122" s="654"/>
      <c r="N122" s="654"/>
      <c r="P122" s="747" t="s">
        <v>486</v>
      </c>
      <c r="Q122" s="748"/>
      <c r="R122" s="748"/>
      <c r="S122" s="748"/>
      <c r="T122" s="749"/>
      <c r="U122" s="644" t="s">
        <v>482</v>
      </c>
      <c r="V122" s="651" t="s">
        <v>482</v>
      </c>
      <c r="W122" s="747" t="s">
        <v>482</v>
      </c>
      <c r="X122" s="749"/>
    </row>
    <row r="123" spans="1:24" s="641" customFormat="1" ht="12" customHeight="1" x14ac:dyDescent="0.2">
      <c r="A123" s="655" t="s">
        <v>487</v>
      </c>
      <c r="P123" s="747" t="s">
        <v>488</v>
      </c>
      <c r="Q123" s="748"/>
      <c r="R123" s="748"/>
      <c r="S123" s="748"/>
      <c r="T123" s="749"/>
      <c r="U123" s="644" t="s">
        <v>482</v>
      </c>
      <c r="V123" s="651" t="s">
        <v>482</v>
      </c>
      <c r="W123" s="747" t="s">
        <v>482</v>
      </c>
      <c r="X123" s="749"/>
    </row>
    <row r="124" spans="1:24" s="641" customFormat="1" ht="12.75" customHeight="1" x14ac:dyDescent="0.2">
      <c r="A124" s="735" t="s">
        <v>489</v>
      </c>
      <c r="B124" s="735"/>
      <c r="J124" s="656"/>
      <c r="P124" s="747" t="s">
        <v>490</v>
      </c>
      <c r="Q124" s="748"/>
      <c r="R124" s="748"/>
      <c r="S124" s="748"/>
      <c r="T124" s="749"/>
      <c r="U124" s="644" t="s">
        <v>482</v>
      </c>
      <c r="V124" s="651" t="s">
        <v>482</v>
      </c>
      <c r="W124" s="747" t="s">
        <v>482</v>
      </c>
      <c r="X124" s="749"/>
    </row>
    <row r="125" spans="1:24" s="641" customFormat="1" x14ac:dyDescent="0.2">
      <c r="A125" s="735" t="s">
        <v>491</v>
      </c>
      <c r="B125" s="735"/>
    </row>
    <row r="126" spans="1:24" s="641" customFormat="1" ht="12.75" customHeight="1" x14ac:dyDescent="0.2">
      <c r="A126" s="735" t="s">
        <v>492</v>
      </c>
      <c r="B126" s="735"/>
    </row>
    <row r="127" spans="1:24" s="641" customFormat="1" ht="12.75" customHeight="1" x14ac:dyDescent="0.2"/>
    <row r="128" spans="1:24" s="641" customFormat="1" ht="12.75" customHeight="1" x14ac:dyDescent="0.2">
      <c r="A128" s="657" t="s">
        <v>493</v>
      </c>
      <c r="B128" s="652"/>
      <c r="C128" s="652"/>
      <c r="D128" s="652"/>
      <c r="W128" s="652"/>
      <c r="X128" s="652"/>
    </row>
    <row r="129" spans="1:24" s="652" customFormat="1" ht="14.25" customHeight="1" x14ac:dyDescent="0.2">
      <c r="A129" s="750" t="s">
        <v>494</v>
      </c>
      <c r="B129" s="750"/>
      <c r="C129" s="750"/>
      <c r="D129" s="750"/>
      <c r="E129" s="654"/>
      <c r="F129" s="654"/>
      <c r="G129" s="654"/>
      <c r="H129" s="654"/>
      <c r="I129" s="654"/>
      <c r="J129" s="654"/>
      <c r="K129" s="654"/>
      <c r="L129" s="654"/>
      <c r="M129" s="654"/>
      <c r="O129" s="641"/>
      <c r="P129" s="641"/>
      <c r="Q129" s="641"/>
      <c r="R129" s="641"/>
      <c r="S129" s="641"/>
      <c r="T129" s="641"/>
      <c r="U129" s="641"/>
      <c r="V129" s="641"/>
      <c r="W129" s="641"/>
      <c r="X129" s="641"/>
    </row>
    <row r="130" spans="1:24" s="641" customFormat="1" ht="14.25" customHeight="1" x14ac:dyDescent="0.2">
      <c r="A130" s="750" t="s">
        <v>495</v>
      </c>
      <c r="B130" s="750"/>
      <c r="C130" s="750"/>
      <c r="D130" s="750"/>
    </row>
    <row r="131" spans="1:24" s="641" customFormat="1" ht="14.25" customHeight="1" x14ac:dyDescent="0.2">
      <c r="A131" s="750" t="s">
        <v>496</v>
      </c>
      <c r="B131" s="750"/>
      <c r="C131" s="750"/>
      <c r="D131" s="750"/>
      <c r="J131" s="656"/>
    </row>
    <row r="132" spans="1:24" s="641" customFormat="1" ht="14.25" customHeight="1" x14ac:dyDescent="0.2">
      <c r="A132" s="750" t="s">
        <v>497</v>
      </c>
      <c r="B132" s="750"/>
      <c r="C132" s="750"/>
      <c r="D132" s="750"/>
    </row>
    <row r="133" spans="1:24" s="641" customFormat="1" ht="14.25" customHeight="1" x14ac:dyDescent="0.2">
      <c r="A133" s="750" t="s">
        <v>498</v>
      </c>
      <c r="B133" s="750"/>
      <c r="C133" s="750"/>
      <c r="D133" s="750"/>
    </row>
    <row r="134" spans="1:24" s="641" customFormat="1" x14ac:dyDescent="0.2"/>
    <row r="135" spans="1:24" s="641" customFormat="1" x14ac:dyDescent="0.2"/>
    <row r="136" spans="1:24" s="641" customFormat="1" x14ac:dyDescent="0.2"/>
    <row r="137" spans="1:24" s="641" customFormat="1" x14ac:dyDescent="0.2"/>
    <row r="138" spans="1:24" s="641" customFormat="1" x14ac:dyDescent="0.2"/>
  </sheetData>
  <mergeCells count="68">
    <mergeCell ref="A130:D130"/>
    <mergeCell ref="A131:D131"/>
    <mergeCell ref="A132:D132"/>
    <mergeCell ref="A133:D133"/>
    <mergeCell ref="A124:B124"/>
    <mergeCell ref="P124:T124"/>
    <mergeCell ref="W124:X124"/>
    <mergeCell ref="A125:B125"/>
    <mergeCell ref="A126:B126"/>
    <mergeCell ref="A129:D129"/>
    <mergeCell ref="P123:T123"/>
    <mergeCell ref="W123:X123"/>
    <mergeCell ref="A119:N119"/>
    <mergeCell ref="P119:T119"/>
    <mergeCell ref="W119:X119"/>
    <mergeCell ref="A120:N120"/>
    <mergeCell ref="P120:T120"/>
    <mergeCell ref="W120:X120"/>
    <mergeCell ref="A121:N121"/>
    <mergeCell ref="P121:T121"/>
    <mergeCell ref="W121:X121"/>
    <mergeCell ref="P122:T122"/>
    <mergeCell ref="W122:X122"/>
    <mergeCell ref="A116:N116"/>
    <mergeCell ref="A117:N117"/>
    <mergeCell ref="P117:X117"/>
    <mergeCell ref="A118:N118"/>
    <mergeCell ref="P118:T118"/>
    <mergeCell ref="W118:X118"/>
    <mergeCell ref="Q7:V7"/>
    <mergeCell ref="W7:X7"/>
    <mergeCell ref="H7:H9"/>
    <mergeCell ref="I7:I9"/>
    <mergeCell ref="J7:J9"/>
    <mergeCell ref="S8:S9"/>
    <mergeCell ref="T8:T9"/>
    <mergeCell ref="A115:K115"/>
    <mergeCell ref="P115:T115"/>
    <mergeCell ref="U8:V8"/>
    <mergeCell ref="A111:N111"/>
    <mergeCell ref="A112:L112"/>
    <mergeCell ref="A113:L113"/>
    <mergeCell ref="A114:K114"/>
    <mergeCell ref="P114:X114"/>
    <mergeCell ref="K7:K9"/>
    <mergeCell ref="L7:L9"/>
    <mergeCell ref="M7:M9"/>
    <mergeCell ref="W8:W9"/>
    <mergeCell ref="X8:X9"/>
    <mergeCell ref="A108:L108"/>
    <mergeCell ref="A109:L109"/>
    <mergeCell ref="A110:L110"/>
    <mergeCell ref="A1:Y1"/>
    <mergeCell ref="A2:Y2"/>
    <mergeCell ref="A4:Y4"/>
    <mergeCell ref="A7:A9"/>
    <mergeCell ref="B7:B9"/>
    <mergeCell ref="C7:C9"/>
    <mergeCell ref="D7:D9"/>
    <mergeCell ref="E7:E9"/>
    <mergeCell ref="F7:F9"/>
    <mergeCell ref="G7:G9"/>
    <mergeCell ref="Y7:Y9"/>
    <mergeCell ref="Q8:Q9"/>
    <mergeCell ref="R8:R9"/>
    <mergeCell ref="N7:N9"/>
    <mergeCell ref="O7:O9"/>
    <mergeCell ref="P7:P9"/>
  </mergeCells>
  <phoneticPr fontId="98" type="noConversion"/>
  <pageMargins left="0.70866141732283472" right="0.70866141732283472" top="0.74803149606299213" bottom="0.74803149606299213" header="0.31496062992125984" footer="0.31496062992125984"/>
  <pageSetup paperSize="8"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P59"/>
  <sheetViews>
    <sheetView topLeftCell="A32" workbookViewId="0">
      <selection activeCell="I45" sqref="I45"/>
    </sheetView>
  </sheetViews>
  <sheetFormatPr defaultRowHeight="12.75" x14ac:dyDescent="0.2"/>
  <cols>
    <col min="1" max="1" width="17.85546875" style="93" customWidth="1"/>
    <col min="2" max="2" width="15.85546875" style="93" customWidth="1"/>
    <col min="3" max="3" width="25.28515625" style="93" customWidth="1"/>
    <col min="4" max="4" width="18.140625" style="93" customWidth="1"/>
    <col min="5" max="8" width="15.28515625" style="93" customWidth="1"/>
    <col min="9" max="9" width="24.85546875" style="93" customWidth="1"/>
    <col min="10" max="10" width="15.7109375" style="93" customWidth="1"/>
    <col min="11" max="11" width="14" style="93" customWidth="1"/>
    <col min="12" max="13" width="17.140625" style="93" customWidth="1"/>
    <col min="14" max="14" width="15.85546875" style="93" customWidth="1"/>
    <col min="15" max="15" width="52" style="93" customWidth="1"/>
    <col min="16" max="16" width="23.140625" style="93" customWidth="1"/>
    <col min="17" max="256" width="9.140625" style="93"/>
    <col min="257" max="257" width="17.85546875" style="93" customWidth="1"/>
    <col min="258" max="258" width="15.85546875" style="93" customWidth="1"/>
    <col min="259" max="259" width="19.85546875" style="93" customWidth="1"/>
    <col min="260" max="260" width="18.140625" style="93" customWidth="1"/>
    <col min="261" max="264" width="15.28515625" style="93" customWidth="1"/>
    <col min="265" max="265" width="24.85546875" style="93" customWidth="1"/>
    <col min="266" max="266" width="15.7109375" style="93" customWidth="1"/>
    <col min="267" max="267" width="14" style="93" customWidth="1"/>
    <col min="268" max="269" width="17.140625" style="93" customWidth="1"/>
    <col min="270" max="270" width="15.85546875" style="93" customWidth="1"/>
    <col min="271" max="271" width="52" style="93" customWidth="1"/>
    <col min="272" max="272" width="23.140625" style="93" customWidth="1"/>
    <col min="273" max="512" width="9.140625" style="93"/>
    <col min="513" max="513" width="17.85546875" style="93" customWidth="1"/>
    <col min="514" max="514" width="15.85546875" style="93" customWidth="1"/>
    <col min="515" max="515" width="19.85546875" style="93" customWidth="1"/>
    <col min="516" max="516" width="18.140625" style="93" customWidth="1"/>
    <col min="517" max="520" width="15.28515625" style="93" customWidth="1"/>
    <col min="521" max="521" width="24.85546875" style="93" customWidth="1"/>
    <col min="522" max="522" width="15.7109375" style="93" customWidth="1"/>
    <col min="523" max="523" width="14" style="93" customWidth="1"/>
    <col min="524" max="525" width="17.140625" style="93" customWidth="1"/>
    <col min="526" max="526" width="15.85546875" style="93" customWidth="1"/>
    <col min="527" max="527" width="52" style="93" customWidth="1"/>
    <col min="528" max="528" width="23.140625" style="93" customWidth="1"/>
    <col min="529" max="768" width="9.140625" style="93"/>
    <col min="769" max="769" width="17.85546875" style="93" customWidth="1"/>
    <col min="770" max="770" width="15.85546875" style="93" customWidth="1"/>
    <col min="771" max="771" width="19.85546875" style="93" customWidth="1"/>
    <col min="772" max="772" width="18.140625" style="93" customWidth="1"/>
    <col min="773" max="776" width="15.28515625" style="93" customWidth="1"/>
    <col min="777" max="777" width="24.85546875" style="93" customWidth="1"/>
    <col min="778" max="778" width="15.7109375" style="93" customWidth="1"/>
    <col min="779" max="779" width="14" style="93" customWidth="1"/>
    <col min="780" max="781" width="17.140625" style="93" customWidth="1"/>
    <col min="782" max="782" width="15.85546875" style="93" customWidth="1"/>
    <col min="783" max="783" width="52" style="93" customWidth="1"/>
    <col min="784" max="784" width="23.140625" style="93" customWidth="1"/>
    <col min="785" max="1024" width="9.140625" style="93"/>
    <col min="1025" max="1025" width="17.85546875" style="93" customWidth="1"/>
    <col min="1026" max="1026" width="15.85546875" style="93" customWidth="1"/>
    <col min="1027" max="1027" width="19.85546875" style="93" customWidth="1"/>
    <col min="1028" max="1028" width="18.140625" style="93" customWidth="1"/>
    <col min="1029" max="1032" width="15.28515625" style="93" customWidth="1"/>
    <col min="1033" max="1033" width="24.85546875" style="93" customWidth="1"/>
    <col min="1034" max="1034" width="15.7109375" style="93" customWidth="1"/>
    <col min="1035" max="1035" width="14" style="93" customWidth="1"/>
    <col min="1036" max="1037" width="17.140625" style="93" customWidth="1"/>
    <col min="1038" max="1038" width="15.85546875" style="93" customWidth="1"/>
    <col min="1039" max="1039" width="52" style="93" customWidth="1"/>
    <col min="1040" max="1040" width="23.140625" style="93" customWidth="1"/>
    <col min="1041" max="1280" width="9.140625" style="93"/>
    <col min="1281" max="1281" width="17.85546875" style="93" customWidth="1"/>
    <col min="1282" max="1282" width="15.85546875" style="93" customWidth="1"/>
    <col min="1283" max="1283" width="19.85546875" style="93" customWidth="1"/>
    <col min="1284" max="1284" width="18.140625" style="93" customWidth="1"/>
    <col min="1285" max="1288" width="15.28515625" style="93" customWidth="1"/>
    <col min="1289" max="1289" width="24.85546875" style="93" customWidth="1"/>
    <col min="1290" max="1290" width="15.7109375" style="93" customWidth="1"/>
    <col min="1291" max="1291" width="14" style="93" customWidth="1"/>
    <col min="1292" max="1293" width="17.140625" style="93" customWidth="1"/>
    <col min="1294" max="1294" width="15.85546875" style="93" customWidth="1"/>
    <col min="1295" max="1295" width="52" style="93" customWidth="1"/>
    <col min="1296" max="1296" width="23.140625" style="93" customWidth="1"/>
    <col min="1297" max="1536" width="9.140625" style="93"/>
    <col min="1537" max="1537" width="17.85546875" style="93" customWidth="1"/>
    <col min="1538" max="1538" width="15.85546875" style="93" customWidth="1"/>
    <col min="1539" max="1539" width="19.85546875" style="93" customWidth="1"/>
    <col min="1540" max="1540" width="18.140625" style="93" customWidth="1"/>
    <col min="1541" max="1544" width="15.28515625" style="93" customWidth="1"/>
    <col min="1545" max="1545" width="24.85546875" style="93" customWidth="1"/>
    <col min="1546" max="1546" width="15.7109375" style="93" customWidth="1"/>
    <col min="1547" max="1547" width="14" style="93" customWidth="1"/>
    <col min="1548" max="1549" width="17.140625" style="93" customWidth="1"/>
    <col min="1550" max="1550" width="15.85546875" style="93" customWidth="1"/>
    <col min="1551" max="1551" width="52" style="93" customWidth="1"/>
    <col min="1552" max="1552" width="23.140625" style="93" customWidth="1"/>
    <col min="1553" max="1792" width="9.140625" style="93"/>
    <col min="1793" max="1793" width="17.85546875" style="93" customWidth="1"/>
    <col min="1794" max="1794" width="15.85546875" style="93" customWidth="1"/>
    <col min="1795" max="1795" width="19.85546875" style="93" customWidth="1"/>
    <col min="1796" max="1796" width="18.140625" style="93" customWidth="1"/>
    <col min="1797" max="1800" width="15.28515625" style="93" customWidth="1"/>
    <col min="1801" max="1801" width="24.85546875" style="93" customWidth="1"/>
    <col min="1802" max="1802" width="15.7109375" style="93" customWidth="1"/>
    <col min="1803" max="1803" width="14" style="93" customWidth="1"/>
    <col min="1804" max="1805" width="17.140625" style="93" customWidth="1"/>
    <col min="1806" max="1806" width="15.85546875" style="93" customWidth="1"/>
    <col min="1807" max="1807" width="52" style="93" customWidth="1"/>
    <col min="1808" max="1808" width="23.140625" style="93" customWidth="1"/>
    <col min="1809" max="2048" width="9.140625" style="93"/>
    <col min="2049" max="2049" width="17.85546875" style="93" customWidth="1"/>
    <col min="2050" max="2050" width="15.85546875" style="93" customWidth="1"/>
    <col min="2051" max="2051" width="19.85546875" style="93" customWidth="1"/>
    <col min="2052" max="2052" width="18.140625" style="93" customWidth="1"/>
    <col min="2053" max="2056" width="15.28515625" style="93" customWidth="1"/>
    <col min="2057" max="2057" width="24.85546875" style="93" customWidth="1"/>
    <col min="2058" max="2058" width="15.7109375" style="93" customWidth="1"/>
    <col min="2059" max="2059" width="14" style="93" customWidth="1"/>
    <col min="2060" max="2061" width="17.140625" style="93" customWidth="1"/>
    <col min="2062" max="2062" width="15.85546875" style="93" customWidth="1"/>
    <col min="2063" max="2063" width="52" style="93" customWidth="1"/>
    <col min="2064" max="2064" width="23.140625" style="93" customWidth="1"/>
    <col min="2065" max="2304" width="9.140625" style="93"/>
    <col min="2305" max="2305" width="17.85546875" style="93" customWidth="1"/>
    <col min="2306" max="2306" width="15.85546875" style="93" customWidth="1"/>
    <col min="2307" max="2307" width="19.85546875" style="93" customWidth="1"/>
    <col min="2308" max="2308" width="18.140625" style="93" customWidth="1"/>
    <col min="2309" max="2312" width="15.28515625" style="93" customWidth="1"/>
    <col min="2313" max="2313" width="24.85546875" style="93" customWidth="1"/>
    <col min="2314" max="2314" width="15.7109375" style="93" customWidth="1"/>
    <col min="2315" max="2315" width="14" style="93" customWidth="1"/>
    <col min="2316" max="2317" width="17.140625" style="93" customWidth="1"/>
    <col min="2318" max="2318" width="15.85546875" style="93" customWidth="1"/>
    <col min="2319" max="2319" width="52" style="93" customWidth="1"/>
    <col min="2320" max="2320" width="23.140625" style="93" customWidth="1"/>
    <col min="2321" max="2560" width="9.140625" style="93"/>
    <col min="2561" max="2561" width="17.85546875" style="93" customWidth="1"/>
    <col min="2562" max="2562" width="15.85546875" style="93" customWidth="1"/>
    <col min="2563" max="2563" width="19.85546875" style="93" customWidth="1"/>
    <col min="2564" max="2564" width="18.140625" style="93" customWidth="1"/>
    <col min="2565" max="2568" width="15.28515625" style="93" customWidth="1"/>
    <col min="2569" max="2569" width="24.85546875" style="93" customWidth="1"/>
    <col min="2570" max="2570" width="15.7109375" style="93" customWidth="1"/>
    <col min="2571" max="2571" width="14" style="93" customWidth="1"/>
    <col min="2572" max="2573" width="17.140625" style="93" customWidth="1"/>
    <col min="2574" max="2574" width="15.85546875" style="93" customWidth="1"/>
    <col min="2575" max="2575" width="52" style="93" customWidth="1"/>
    <col min="2576" max="2576" width="23.140625" style="93" customWidth="1"/>
    <col min="2577" max="2816" width="9.140625" style="93"/>
    <col min="2817" max="2817" width="17.85546875" style="93" customWidth="1"/>
    <col min="2818" max="2818" width="15.85546875" style="93" customWidth="1"/>
    <col min="2819" max="2819" width="19.85546875" style="93" customWidth="1"/>
    <col min="2820" max="2820" width="18.140625" style="93" customWidth="1"/>
    <col min="2821" max="2824" width="15.28515625" style="93" customWidth="1"/>
    <col min="2825" max="2825" width="24.85546875" style="93" customWidth="1"/>
    <col min="2826" max="2826" width="15.7109375" style="93" customWidth="1"/>
    <col min="2827" max="2827" width="14" style="93" customWidth="1"/>
    <col min="2828" max="2829" width="17.140625" style="93" customWidth="1"/>
    <col min="2830" max="2830" width="15.85546875" style="93" customWidth="1"/>
    <col min="2831" max="2831" width="52" style="93" customWidth="1"/>
    <col min="2832" max="2832" width="23.140625" style="93" customWidth="1"/>
    <col min="2833" max="3072" width="9.140625" style="93"/>
    <col min="3073" max="3073" width="17.85546875" style="93" customWidth="1"/>
    <col min="3074" max="3074" width="15.85546875" style="93" customWidth="1"/>
    <col min="3075" max="3075" width="19.85546875" style="93" customWidth="1"/>
    <col min="3076" max="3076" width="18.140625" style="93" customWidth="1"/>
    <col min="3077" max="3080" width="15.28515625" style="93" customWidth="1"/>
    <col min="3081" max="3081" width="24.85546875" style="93" customWidth="1"/>
    <col min="3082" max="3082" width="15.7109375" style="93" customWidth="1"/>
    <col min="3083" max="3083" width="14" style="93" customWidth="1"/>
    <col min="3084" max="3085" width="17.140625" style="93" customWidth="1"/>
    <col min="3086" max="3086" width="15.85546875" style="93" customWidth="1"/>
    <col min="3087" max="3087" width="52" style="93" customWidth="1"/>
    <col min="3088" max="3088" width="23.140625" style="93" customWidth="1"/>
    <col min="3089" max="3328" width="9.140625" style="93"/>
    <col min="3329" max="3329" width="17.85546875" style="93" customWidth="1"/>
    <col min="3330" max="3330" width="15.85546875" style="93" customWidth="1"/>
    <col min="3331" max="3331" width="19.85546875" style="93" customWidth="1"/>
    <col min="3332" max="3332" width="18.140625" style="93" customWidth="1"/>
    <col min="3333" max="3336" width="15.28515625" style="93" customWidth="1"/>
    <col min="3337" max="3337" width="24.85546875" style="93" customWidth="1"/>
    <col min="3338" max="3338" width="15.7109375" style="93" customWidth="1"/>
    <col min="3339" max="3339" width="14" style="93" customWidth="1"/>
    <col min="3340" max="3341" width="17.140625" style="93" customWidth="1"/>
    <col min="3342" max="3342" width="15.85546875" style="93" customWidth="1"/>
    <col min="3343" max="3343" width="52" style="93" customWidth="1"/>
    <col min="3344" max="3344" width="23.140625" style="93" customWidth="1"/>
    <col min="3345" max="3584" width="9.140625" style="93"/>
    <col min="3585" max="3585" width="17.85546875" style="93" customWidth="1"/>
    <col min="3586" max="3586" width="15.85546875" style="93" customWidth="1"/>
    <col min="3587" max="3587" width="19.85546875" style="93" customWidth="1"/>
    <col min="3588" max="3588" width="18.140625" style="93" customWidth="1"/>
    <col min="3589" max="3592" width="15.28515625" style="93" customWidth="1"/>
    <col min="3593" max="3593" width="24.85546875" style="93" customWidth="1"/>
    <col min="3594" max="3594" width="15.7109375" style="93" customWidth="1"/>
    <col min="3595" max="3595" width="14" style="93" customWidth="1"/>
    <col min="3596" max="3597" width="17.140625" style="93" customWidth="1"/>
    <col min="3598" max="3598" width="15.85546875" style="93" customWidth="1"/>
    <col min="3599" max="3599" width="52" style="93" customWidth="1"/>
    <col min="3600" max="3600" width="23.140625" style="93" customWidth="1"/>
    <col min="3601" max="3840" width="9.140625" style="93"/>
    <col min="3841" max="3841" width="17.85546875" style="93" customWidth="1"/>
    <col min="3842" max="3842" width="15.85546875" style="93" customWidth="1"/>
    <col min="3843" max="3843" width="19.85546875" style="93" customWidth="1"/>
    <col min="3844" max="3844" width="18.140625" style="93" customWidth="1"/>
    <col min="3845" max="3848" width="15.28515625" style="93" customWidth="1"/>
    <col min="3849" max="3849" width="24.85546875" style="93" customWidth="1"/>
    <col min="3850" max="3850" width="15.7109375" style="93" customWidth="1"/>
    <col min="3851" max="3851" width="14" style="93" customWidth="1"/>
    <col min="3852" max="3853" width="17.140625" style="93" customWidth="1"/>
    <col min="3854" max="3854" width="15.85546875" style="93" customWidth="1"/>
    <col min="3855" max="3855" width="52" style="93" customWidth="1"/>
    <col min="3856" max="3856" width="23.140625" style="93" customWidth="1"/>
    <col min="3857" max="4096" width="9.140625" style="93"/>
    <col min="4097" max="4097" width="17.85546875" style="93" customWidth="1"/>
    <col min="4098" max="4098" width="15.85546875" style="93" customWidth="1"/>
    <col min="4099" max="4099" width="19.85546875" style="93" customWidth="1"/>
    <col min="4100" max="4100" width="18.140625" style="93" customWidth="1"/>
    <col min="4101" max="4104" width="15.28515625" style="93" customWidth="1"/>
    <col min="4105" max="4105" width="24.85546875" style="93" customWidth="1"/>
    <col min="4106" max="4106" width="15.7109375" style="93" customWidth="1"/>
    <col min="4107" max="4107" width="14" style="93" customWidth="1"/>
    <col min="4108" max="4109" width="17.140625" style="93" customWidth="1"/>
    <col min="4110" max="4110" width="15.85546875" style="93" customWidth="1"/>
    <col min="4111" max="4111" width="52" style="93" customWidth="1"/>
    <col min="4112" max="4112" width="23.140625" style="93" customWidth="1"/>
    <col min="4113" max="4352" width="9.140625" style="93"/>
    <col min="4353" max="4353" width="17.85546875" style="93" customWidth="1"/>
    <col min="4354" max="4354" width="15.85546875" style="93" customWidth="1"/>
    <col min="4355" max="4355" width="19.85546875" style="93" customWidth="1"/>
    <col min="4356" max="4356" width="18.140625" style="93" customWidth="1"/>
    <col min="4357" max="4360" width="15.28515625" style="93" customWidth="1"/>
    <col min="4361" max="4361" width="24.85546875" style="93" customWidth="1"/>
    <col min="4362" max="4362" width="15.7109375" style="93" customWidth="1"/>
    <col min="4363" max="4363" width="14" style="93" customWidth="1"/>
    <col min="4364" max="4365" width="17.140625" style="93" customWidth="1"/>
    <col min="4366" max="4366" width="15.85546875" style="93" customWidth="1"/>
    <col min="4367" max="4367" width="52" style="93" customWidth="1"/>
    <col min="4368" max="4368" width="23.140625" style="93" customWidth="1"/>
    <col min="4369" max="4608" width="9.140625" style="93"/>
    <col min="4609" max="4609" width="17.85546875" style="93" customWidth="1"/>
    <col min="4610" max="4610" width="15.85546875" style="93" customWidth="1"/>
    <col min="4611" max="4611" width="19.85546875" style="93" customWidth="1"/>
    <col min="4612" max="4612" width="18.140625" style="93" customWidth="1"/>
    <col min="4613" max="4616" width="15.28515625" style="93" customWidth="1"/>
    <col min="4617" max="4617" width="24.85546875" style="93" customWidth="1"/>
    <col min="4618" max="4618" width="15.7109375" style="93" customWidth="1"/>
    <col min="4619" max="4619" width="14" style="93" customWidth="1"/>
    <col min="4620" max="4621" width="17.140625" style="93" customWidth="1"/>
    <col min="4622" max="4622" width="15.85546875" style="93" customWidth="1"/>
    <col min="4623" max="4623" width="52" style="93" customWidth="1"/>
    <col min="4624" max="4624" width="23.140625" style="93" customWidth="1"/>
    <col min="4625" max="4864" width="9.140625" style="93"/>
    <col min="4865" max="4865" width="17.85546875" style="93" customWidth="1"/>
    <col min="4866" max="4866" width="15.85546875" style="93" customWidth="1"/>
    <col min="4867" max="4867" width="19.85546875" style="93" customWidth="1"/>
    <col min="4868" max="4868" width="18.140625" style="93" customWidth="1"/>
    <col min="4869" max="4872" width="15.28515625" style="93" customWidth="1"/>
    <col min="4873" max="4873" width="24.85546875" style="93" customWidth="1"/>
    <col min="4874" max="4874" width="15.7109375" style="93" customWidth="1"/>
    <col min="4875" max="4875" width="14" style="93" customWidth="1"/>
    <col min="4876" max="4877" width="17.140625" style="93" customWidth="1"/>
    <col min="4878" max="4878" width="15.85546875" style="93" customWidth="1"/>
    <col min="4879" max="4879" width="52" style="93" customWidth="1"/>
    <col min="4880" max="4880" width="23.140625" style="93" customWidth="1"/>
    <col min="4881" max="5120" width="9.140625" style="93"/>
    <col min="5121" max="5121" width="17.85546875" style="93" customWidth="1"/>
    <col min="5122" max="5122" width="15.85546875" style="93" customWidth="1"/>
    <col min="5123" max="5123" width="19.85546875" style="93" customWidth="1"/>
    <col min="5124" max="5124" width="18.140625" style="93" customWidth="1"/>
    <col min="5125" max="5128" width="15.28515625" style="93" customWidth="1"/>
    <col min="5129" max="5129" width="24.85546875" style="93" customWidth="1"/>
    <col min="5130" max="5130" width="15.7109375" style="93" customWidth="1"/>
    <col min="5131" max="5131" width="14" style="93" customWidth="1"/>
    <col min="5132" max="5133" width="17.140625" style="93" customWidth="1"/>
    <col min="5134" max="5134" width="15.85546875" style="93" customWidth="1"/>
    <col min="5135" max="5135" width="52" style="93" customWidth="1"/>
    <col min="5136" max="5136" width="23.140625" style="93" customWidth="1"/>
    <col min="5137" max="5376" width="9.140625" style="93"/>
    <col min="5377" max="5377" width="17.85546875" style="93" customWidth="1"/>
    <col min="5378" max="5378" width="15.85546875" style="93" customWidth="1"/>
    <col min="5379" max="5379" width="19.85546875" style="93" customWidth="1"/>
    <col min="5380" max="5380" width="18.140625" style="93" customWidth="1"/>
    <col min="5381" max="5384" width="15.28515625" style="93" customWidth="1"/>
    <col min="5385" max="5385" width="24.85546875" style="93" customWidth="1"/>
    <col min="5386" max="5386" width="15.7109375" style="93" customWidth="1"/>
    <col min="5387" max="5387" width="14" style="93" customWidth="1"/>
    <col min="5388" max="5389" width="17.140625" style="93" customWidth="1"/>
    <col min="5390" max="5390" width="15.85546875" style="93" customWidth="1"/>
    <col min="5391" max="5391" width="52" style="93" customWidth="1"/>
    <col min="5392" max="5392" width="23.140625" style="93" customWidth="1"/>
    <col min="5393" max="5632" width="9.140625" style="93"/>
    <col min="5633" max="5633" width="17.85546875" style="93" customWidth="1"/>
    <col min="5634" max="5634" width="15.85546875" style="93" customWidth="1"/>
    <col min="5635" max="5635" width="19.85546875" style="93" customWidth="1"/>
    <col min="5636" max="5636" width="18.140625" style="93" customWidth="1"/>
    <col min="5637" max="5640" width="15.28515625" style="93" customWidth="1"/>
    <col min="5641" max="5641" width="24.85546875" style="93" customWidth="1"/>
    <col min="5642" max="5642" width="15.7109375" style="93" customWidth="1"/>
    <col min="5643" max="5643" width="14" style="93" customWidth="1"/>
    <col min="5644" max="5645" width="17.140625" style="93" customWidth="1"/>
    <col min="5646" max="5646" width="15.85546875" style="93" customWidth="1"/>
    <col min="5647" max="5647" width="52" style="93" customWidth="1"/>
    <col min="5648" max="5648" width="23.140625" style="93" customWidth="1"/>
    <col min="5649" max="5888" width="9.140625" style="93"/>
    <col min="5889" max="5889" width="17.85546875" style="93" customWidth="1"/>
    <col min="5890" max="5890" width="15.85546875" style="93" customWidth="1"/>
    <col min="5891" max="5891" width="19.85546875" style="93" customWidth="1"/>
    <col min="5892" max="5892" width="18.140625" style="93" customWidth="1"/>
    <col min="5893" max="5896" width="15.28515625" style="93" customWidth="1"/>
    <col min="5897" max="5897" width="24.85546875" style="93" customWidth="1"/>
    <col min="5898" max="5898" width="15.7109375" style="93" customWidth="1"/>
    <col min="5899" max="5899" width="14" style="93" customWidth="1"/>
    <col min="5900" max="5901" width="17.140625" style="93" customWidth="1"/>
    <col min="5902" max="5902" width="15.85546875" style="93" customWidth="1"/>
    <col min="5903" max="5903" width="52" style="93" customWidth="1"/>
    <col min="5904" max="5904" width="23.140625" style="93" customWidth="1"/>
    <col min="5905" max="6144" width="9.140625" style="93"/>
    <col min="6145" max="6145" width="17.85546875" style="93" customWidth="1"/>
    <col min="6146" max="6146" width="15.85546875" style="93" customWidth="1"/>
    <col min="6147" max="6147" width="19.85546875" style="93" customWidth="1"/>
    <col min="6148" max="6148" width="18.140625" style="93" customWidth="1"/>
    <col min="6149" max="6152" width="15.28515625" style="93" customWidth="1"/>
    <col min="6153" max="6153" width="24.85546875" style="93" customWidth="1"/>
    <col min="6154" max="6154" width="15.7109375" style="93" customWidth="1"/>
    <col min="6155" max="6155" width="14" style="93" customWidth="1"/>
    <col min="6156" max="6157" width="17.140625" style="93" customWidth="1"/>
    <col min="6158" max="6158" width="15.85546875" style="93" customWidth="1"/>
    <col min="6159" max="6159" width="52" style="93" customWidth="1"/>
    <col min="6160" max="6160" width="23.140625" style="93" customWidth="1"/>
    <col min="6161" max="6400" width="9.140625" style="93"/>
    <col min="6401" max="6401" width="17.85546875" style="93" customWidth="1"/>
    <col min="6402" max="6402" width="15.85546875" style="93" customWidth="1"/>
    <col min="6403" max="6403" width="19.85546875" style="93" customWidth="1"/>
    <col min="6404" max="6404" width="18.140625" style="93" customWidth="1"/>
    <col min="6405" max="6408" width="15.28515625" style="93" customWidth="1"/>
    <col min="6409" max="6409" width="24.85546875" style="93" customWidth="1"/>
    <col min="6410" max="6410" width="15.7109375" style="93" customWidth="1"/>
    <col min="6411" max="6411" width="14" style="93" customWidth="1"/>
    <col min="6412" max="6413" width="17.140625" style="93" customWidth="1"/>
    <col min="6414" max="6414" width="15.85546875" style="93" customWidth="1"/>
    <col min="6415" max="6415" width="52" style="93" customWidth="1"/>
    <col min="6416" max="6416" width="23.140625" style="93" customWidth="1"/>
    <col min="6417" max="6656" width="9.140625" style="93"/>
    <col min="6657" max="6657" width="17.85546875" style="93" customWidth="1"/>
    <col min="6658" max="6658" width="15.85546875" style="93" customWidth="1"/>
    <col min="6659" max="6659" width="19.85546875" style="93" customWidth="1"/>
    <col min="6660" max="6660" width="18.140625" style="93" customWidth="1"/>
    <col min="6661" max="6664" width="15.28515625" style="93" customWidth="1"/>
    <col min="6665" max="6665" width="24.85546875" style="93" customWidth="1"/>
    <col min="6666" max="6666" width="15.7109375" style="93" customWidth="1"/>
    <col min="6667" max="6667" width="14" style="93" customWidth="1"/>
    <col min="6668" max="6669" width="17.140625" style="93" customWidth="1"/>
    <col min="6670" max="6670" width="15.85546875" style="93" customWidth="1"/>
    <col min="6671" max="6671" width="52" style="93" customWidth="1"/>
    <col min="6672" max="6672" width="23.140625" style="93" customWidth="1"/>
    <col min="6673" max="6912" width="9.140625" style="93"/>
    <col min="6913" max="6913" width="17.85546875" style="93" customWidth="1"/>
    <col min="6914" max="6914" width="15.85546875" style="93" customWidth="1"/>
    <col min="6915" max="6915" width="19.85546875" style="93" customWidth="1"/>
    <col min="6916" max="6916" width="18.140625" style="93" customWidth="1"/>
    <col min="6917" max="6920" width="15.28515625" style="93" customWidth="1"/>
    <col min="6921" max="6921" width="24.85546875" style="93" customWidth="1"/>
    <col min="6922" max="6922" width="15.7109375" style="93" customWidth="1"/>
    <col min="6923" max="6923" width="14" style="93" customWidth="1"/>
    <col min="6924" max="6925" width="17.140625" style="93" customWidth="1"/>
    <col min="6926" max="6926" width="15.85546875" style="93" customWidth="1"/>
    <col min="6927" max="6927" width="52" style="93" customWidth="1"/>
    <col min="6928" max="6928" width="23.140625" style="93" customWidth="1"/>
    <col min="6929" max="7168" width="9.140625" style="93"/>
    <col min="7169" max="7169" width="17.85546875" style="93" customWidth="1"/>
    <col min="7170" max="7170" width="15.85546875" style="93" customWidth="1"/>
    <col min="7171" max="7171" width="19.85546875" style="93" customWidth="1"/>
    <col min="7172" max="7172" width="18.140625" style="93" customWidth="1"/>
    <col min="7173" max="7176" width="15.28515625" style="93" customWidth="1"/>
    <col min="7177" max="7177" width="24.85546875" style="93" customWidth="1"/>
    <col min="7178" max="7178" width="15.7109375" style="93" customWidth="1"/>
    <col min="7179" max="7179" width="14" style="93" customWidth="1"/>
    <col min="7180" max="7181" width="17.140625" style="93" customWidth="1"/>
    <col min="7182" max="7182" width="15.85546875" style="93" customWidth="1"/>
    <col min="7183" max="7183" width="52" style="93" customWidth="1"/>
    <col min="7184" max="7184" width="23.140625" style="93" customWidth="1"/>
    <col min="7185" max="7424" width="9.140625" style="93"/>
    <col min="7425" max="7425" width="17.85546875" style="93" customWidth="1"/>
    <col min="7426" max="7426" width="15.85546875" style="93" customWidth="1"/>
    <col min="7427" max="7427" width="19.85546875" style="93" customWidth="1"/>
    <col min="7428" max="7428" width="18.140625" style="93" customWidth="1"/>
    <col min="7429" max="7432" width="15.28515625" style="93" customWidth="1"/>
    <col min="7433" max="7433" width="24.85546875" style="93" customWidth="1"/>
    <col min="7434" max="7434" width="15.7109375" style="93" customWidth="1"/>
    <col min="7435" max="7435" width="14" style="93" customWidth="1"/>
    <col min="7436" max="7437" width="17.140625" style="93" customWidth="1"/>
    <col min="7438" max="7438" width="15.85546875" style="93" customWidth="1"/>
    <col min="7439" max="7439" width="52" style="93" customWidth="1"/>
    <col min="7440" max="7440" width="23.140625" style="93" customWidth="1"/>
    <col min="7441" max="7680" width="9.140625" style="93"/>
    <col min="7681" max="7681" width="17.85546875" style="93" customWidth="1"/>
    <col min="7682" max="7682" width="15.85546875" style="93" customWidth="1"/>
    <col min="7683" max="7683" width="19.85546875" style="93" customWidth="1"/>
    <col min="7684" max="7684" width="18.140625" style="93" customWidth="1"/>
    <col min="7685" max="7688" width="15.28515625" style="93" customWidth="1"/>
    <col min="7689" max="7689" width="24.85546875" style="93" customWidth="1"/>
    <col min="7690" max="7690" width="15.7109375" style="93" customWidth="1"/>
    <col min="7691" max="7691" width="14" style="93" customWidth="1"/>
    <col min="7692" max="7693" width="17.140625" style="93" customWidth="1"/>
    <col min="7694" max="7694" width="15.85546875" style="93" customWidth="1"/>
    <col min="7695" max="7695" width="52" style="93" customWidth="1"/>
    <col min="7696" max="7696" width="23.140625" style="93" customWidth="1"/>
    <col min="7697" max="7936" width="9.140625" style="93"/>
    <col min="7937" max="7937" width="17.85546875" style="93" customWidth="1"/>
    <col min="7938" max="7938" width="15.85546875" style="93" customWidth="1"/>
    <col min="7939" max="7939" width="19.85546875" style="93" customWidth="1"/>
    <col min="7940" max="7940" width="18.140625" style="93" customWidth="1"/>
    <col min="7941" max="7944" width="15.28515625" style="93" customWidth="1"/>
    <col min="7945" max="7945" width="24.85546875" style="93" customWidth="1"/>
    <col min="7946" max="7946" width="15.7109375" style="93" customWidth="1"/>
    <col min="7947" max="7947" width="14" style="93" customWidth="1"/>
    <col min="7948" max="7949" width="17.140625" style="93" customWidth="1"/>
    <col min="7950" max="7950" width="15.85546875" style="93" customWidth="1"/>
    <col min="7951" max="7951" width="52" style="93" customWidth="1"/>
    <col min="7952" max="7952" width="23.140625" style="93" customWidth="1"/>
    <col min="7953" max="8192" width="9.140625" style="93"/>
    <col min="8193" max="8193" width="17.85546875" style="93" customWidth="1"/>
    <col min="8194" max="8194" width="15.85546875" style="93" customWidth="1"/>
    <col min="8195" max="8195" width="19.85546875" style="93" customWidth="1"/>
    <col min="8196" max="8196" width="18.140625" style="93" customWidth="1"/>
    <col min="8197" max="8200" width="15.28515625" style="93" customWidth="1"/>
    <col min="8201" max="8201" width="24.85546875" style="93" customWidth="1"/>
    <col min="8202" max="8202" width="15.7109375" style="93" customWidth="1"/>
    <col min="8203" max="8203" width="14" style="93" customWidth="1"/>
    <col min="8204" max="8205" width="17.140625" style="93" customWidth="1"/>
    <col min="8206" max="8206" width="15.85546875" style="93" customWidth="1"/>
    <col min="8207" max="8207" width="52" style="93" customWidth="1"/>
    <col min="8208" max="8208" width="23.140625" style="93" customWidth="1"/>
    <col min="8209" max="8448" width="9.140625" style="93"/>
    <col min="8449" max="8449" width="17.85546875" style="93" customWidth="1"/>
    <col min="8450" max="8450" width="15.85546875" style="93" customWidth="1"/>
    <col min="8451" max="8451" width="19.85546875" style="93" customWidth="1"/>
    <col min="8452" max="8452" width="18.140625" style="93" customWidth="1"/>
    <col min="8453" max="8456" width="15.28515625" style="93" customWidth="1"/>
    <col min="8457" max="8457" width="24.85546875" style="93" customWidth="1"/>
    <col min="8458" max="8458" width="15.7109375" style="93" customWidth="1"/>
    <col min="8459" max="8459" width="14" style="93" customWidth="1"/>
    <col min="8460" max="8461" width="17.140625" style="93" customWidth="1"/>
    <col min="8462" max="8462" width="15.85546875" style="93" customWidth="1"/>
    <col min="8463" max="8463" width="52" style="93" customWidth="1"/>
    <col min="8464" max="8464" width="23.140625" style="93" customWidth="1"/>
    <col min="8465" max="8704" width="9.140625" style="93"/>
    <col min="8705" max="8705" width="17.85546875" style="93" customWidth="1"/>
    <col min="8706" max="8706" width="15.85546875" style="93" customWidth="1"/>
    <col min="8707" max="8707" width="19.85546875" style="93" customWidth="1"/>
    <col min="8708" max="8708" width="18.140625" style="93" customWidth="1"/>
    <col min="8709" max="8712" width="15.28515625" style="93" customWidth="1"/>
    <col min="8713" max="8713" width="24.85546875" style="93" customWidth="1"/>
    <col min="8714" max="8714" width="15.7109375" style="93" customWidth="1"/>
    <col min="8715" max="8715" width="14" style="93" customWidth="1"/>
    <col min="8716" max="8717" width="17.140625" style="93" customWidth="1"/>
    <col min="8718" max="8718" width="15.85546875" style="93" customWidth="1"/>
    <col min="8719" max="8719" width="52" style="93" customWidth="1"/>
    <col min="8720" max="8720" width="23.140625" style="93" customWidth="1"/>
    <col min="8721" max="8960" width="9.140625" style="93"/>
    <col min="8961" max="8961" width="17.85546875" style="93" customWidth="1"/>
    <col min="8962" max="8962" width="15.85546875" style="93" customWidth="1"/>
    <col min="8963" max="8963" width="19.85546875" style="93" customWidth="1"/>
    <col min="8964" max="8964" width="18.140625" style="93" customWidth="1"/>
    <col min="8965" max="8968" width="15.28515625" style="93" customWidth="1"/>
    <col min="8969" max="8969" width="24.85546875" style="93" customWidth="1"/>
    <col min="8970" max="8970" width="15.7109375" style="93" customWidth="1"/>
    <col min="8971" max="8971" width="14" style="93" customWidth="1"/>
    <col min="8972" max="8973" width="17.140625" style="93" customWidth="1"/>
    <col min="8974" max="8974" width="15.85546875" style="93" customWidth="1"/>
    <col min="8975" max="8975" width="52" style="93" customWidth="1"/>
    <col min="8976" max="8976" width="23.140625" style="93" customWidth="1"/>
    <col min="8977" max="9216" width="9.140625" style="93"/>
    <col min="9217" max="9217" width="17.85546875" style="93" customWidth="1"/>
    <col min="9218" max="9218" width="15.85546875" style="93" customWidth="1"/>
    <col min="9219" max="9219" width="19.85546875" style="93" customWidth="1"/>
    <col min="9220" max="9220" width="18.140625" style="93" customWidth="1"/>
    <col min="9221" max="9224" width="15.28515625" style="93" customWidth="1"/>
    <col min="9225" max="9225" width="24.85546875" style="93" customWidth="1"/>
    <col min="9226" max="9226" width="15.7109375" style="93" customWidth="1"/>
    <col min="9227" max="9227" width="14" style="93" customWidth="1"/>
    <col min="9228" max="9229" width="17.140625" style="93" customWidth="1"/>
    <col min="9230" max="9230" width="15.85546875" style="93" customWidth="1"/>
    <col min="9231" max="9231" width="52" style="93" customWidth="1"/>
    <col min="9232" max="9232" width="23.140625" style="93" customWidth="1"/>
    <col min="9233" max="9472" width="9.140625" style="93"/>
    <col min="9473" max="9473" width="17.85546875" style="93" customWidth="1"/>
    <col min="9474" max="9474" width="15.85546875" style="93" customWidth="1"/>
    <col min="9475" max="9475" width="19.85546875" style="93" customWidth="1"/>
    <col min="9476" max="9476" width="18.140625" style="93" customWidth="1"/>
    <col min="9477" max="9480" width="15.28515625" style="93" customWidth="1"/>
    <col min="9481" max="9481" width="24.85546875" style="93" customWidth="1"/>
    <col min="9482" max="9482" width="15.7109375" style="93" customWidth="1"/>
    <col min="9483" max="9483" width="14" style="93" customWidth="1"/>
    <col min="9484" max="9485" width="17.140625" style="93" customWidth="1"/>
    <col min="9486" max="9486" width="15.85546875" style="93" customWidth="1"/>
    <col min="9487" max="9487" width="52" style="93" customWidth="1"/>
    <col min="9488" max="9488" width="23.140625" style="93" customWidth="1"/>
    <col min="9489" max="9728" width="9.140625" style="93"/>
    <col min="9729" max="9729" width="17.85546875" style="93" customWidth="1"/>
    <col min="9730" max="9730" width="15.85546875" style="93" customWidth="1"/>
    <col min="9731" max="9731" width="19.85546875" style="93" customWidth="1"/>
    <col min="9732" max="9732" width="18.140625" style="93" customWidth="1"/>
    <col min="9733" max="9736" width="15.28515625" style="93" customWidth="1"/>
    <col min="9737" max="9737" width="24.85546875" style="93" customWidth="1"/>
    <col min="9738" max="9738" width="15.7109375" style="93" customWidth="1"/>
    <col min="9739" max="9739" width="14" style="93" customWidth="1"/>
    <col min="9740" max="9741" width="17.140625" style="93" customWidth="1"/>
    <col min="9742" max="9742" width="15.85546875" style="93" customWidth="1"/>
    <col min="9743" max="9743" width="52" style="93" customWidth="1"/>
    <col min="9744" max="9744" width="23.140625" style="93" customWidth="1"/>
    <col min="9745" max="9984" width="9.140625" style="93"/>
    <col min="9985" max="9985" width="17.85546875" style="93" customWidth="1"/>
    <col min="9986" max="9986" width="15.85546875" style="93" customWidth="1"/>
    <col min="9987" max="9987" width="19.85546875" style="93" customWidth="1"/>
    <col min="9988" max="9988" width="18.140625" style="93" customWidth="1"/>
    <col min="9989" max="9992" width="15.28515625" style="93" customWidth="1"/>
    <col min="9993" max="9993" width="24.85546875" style="93" customWidth="1"/>
    <col min="9994" max="9994" width="15.7109375" style="93" customWidth="1"/>
    <col min="9995" max="9995" width="14" style="93" customWidth="1"/>
    <col min="9996" max="9997" width="17.140625" style="93" customWidth="1"/>
    <col min="9998" max="9998" width="15.85546875" style="93" customWidth="1"/>
    <col min="9999" max="9999" width="52" style="93" customWidth="1"/>
    <col min="10000" max="10000" width="23.140625" style="93" customWidth="1"/>
    <col min="10001" max="10240" width="9.140625" style="93"/>
    <col min="10241" max="10241" width="17.85546875" style="93" customWidth="1"/>
    <col min="10242" max="10242" width="15.85546875" style="93" customWidth="1"/>
    <col min="10243" max="10243" width="19.85546875" style="93" customWidth="1"/>
    <col min="10244" max="10244" width="18.140625" style="93" customWidth="1"/>
    <col min="10245" max="10248" width="15.28515625" style="93" customWidth="1"/>
    <col min="10249" max="10249" width="24.85546875" style="93" customWidth="1"/>
    <col min="10250" max="10250" width="15.7109375" style="93" customWidth="1"/>
    <col min="10251" max="10251" width="14" style="93" customWidth="1"/>
    <col min="10252" max="10253" width="17.140625" style="93" customWidth="1"/>
    <col min="10254" max="10254" width="15.85546875" style="93" customWidth="1"/>
    <col min="10255" max="10255" width="52" style="93" customWidth="1"/>
    <col min="10256" max="10256" width="23.140625" style="93" customWidth="1"/>
    <col min="10257" max="10496" width="9.140625" style="93"/>
    <col min="10497" max="10497" width="17.85546875" style="93" customWidth="1"/>
    <col min="10498" max="10498" width="15.85546875" style="93" customWidth="1"/>
    <col min="10499" max="10499" width="19.85546875" style="93" customWidth="1"/>
    <col min="10500" max="10500" width="18.140625" style="93" customWidth="1"/>
    <col min="10501" max="10504" width="15.28515625" style="93" customWidth="1"/>
    <col min="10505" max="10505" width="24.85546875" style="93" customWidth="1"/>
    <col min="10506" max="10506" width="15.7109375" style="93" customWidth="1"/>
    <col min="10507" max="10507" width="14" style="93" customWidth="1"/>
    <col min="10508" max="10509" width="17.140625" style="93" customWidth="1"/>
    <col min="10510" max="10510" width="15.85546875" style="93" customWidth="1"/>
    <col min="10511" max="10511" width="52" style="93" customWidth="1"/>
    <col min="10512" max="10512" width="23.140625" style="93" customWidth="1"/>
    <col min="10513" max="10752" width="9.140625" style="93"/>
    <col min="10753" max="10753" width="17.85546875" style="93" customWidth="1"/>
    <col min="10754" max="10754" width="15.85546875" style="93" customWidth="1"/>
    <col min="10755" max="10755" width="19.85546875" style="93" customWidth="1"/>
    <col min="10756" max="10756" width="18.140625" style="93" customWidth="1"/>
    <col min="10757" max="10760" width="15.28515625" style="93" customWidth="1"/>
    <col min="10761" max="10761" width="24.85546875" style="93" customWidth="1"/>
    <col min="10762" max="10762" width="15.7109375" style="93" customWidth="1"/>
    <col min="10763" max="10763" width="14" style="93" customWidth="1"/>
    <col min="10764" max="10765" width="17.140625" style="93" customWidth="1"/>
    <col min="10766" max="10766" width="15.85546875" style="93" customWidth="1"/>
    <col min="10767" max="10767" width="52" style="93" customWidth="1"/>
    <col min="10768" max="10768" width="23.140625" style="93" customWidth="1"/>
    <col min="10769" max="11008" width="9.140625" style="93"/>
    <col min="11009" max="11009" width="17.85546875" style="93" customWidth="1"/>
    <col min="11010" max="11010" width="15.85546875" style="93" customWidth="1"/>
    <col min="11011" max="11011" width="19.85546875" style="93" customWidth="1"/>
    <col min="11012" max="11012" width="18.140625" style="93" customWidth="1"/>
    <col min="11013" max="11016" width="15.28515625" style="93" customWidth="1"/>
    <col min="11017" max="11017" width="24.85546875" style="93" customWidth="1"/>
    <col min="11018" max="11018" width="15.7109375" style="93" customWidth="1"/>
    <col min="11019" max="11019" width="14" style="93" customWidth="1"/>
    <col min="11020" max="11021" width="17.140625" style="93" customWidth="1"/>
    <col min="11022" max="11022" width="15.85546875" style="93" customWidth="1"/>
    <col min="11023" max="11023" width="52" style="93" customWidth="1"/>
    <col min="11024" max="11024" width="23.140625" style="93" customWidth="1"/>
    <col min="11025" max="11264" width="9.140625" style="93"/>
    <col min="11265" max="11265" width="17.85546875" style="93" customWidth="1"/>
    <col min="11266" max="11266" width="15.85546875" style="93" customWidth="1"/>
    <col min="11267" max="11267" width="19.85546875" style="93" customWidth="1"/>
    <col min="11268" max="11268" width="18.140625" style="93" customWidth="1"/>
    <col min="11269" max="11272" width="15.28515625" style="93" customWidth="1"/>
    <col min="11273" max="11273" width="24.85546875" style="93" customWidth="1"/>
    <col min="11274" max="11274" width="15.7109375" style="93" customWidth="1"/>
    <col min="11275" max="11275" width="14" style="93" customWidth="1"/>
    <col min="11276" max="11277" width="17.140625" style="93" customWidth="1"/>
    <col min="11278" max="11278" width="15.85546875" style="93" customWidth="1"/>
    <col min="11279" max="11279" width="52" style="93" customWidth="1"/>
    <col min="11280" max="11280" width="23.140625" style="93" customWidth="1"/>
    <col min="11281" max="11520" width="9.140625" style="93"/>
    <col min="11521" max="11521" width="17.85546875" style="93" customWidth="1"/>
    <col min="11522" max="11522" width="15.85546875" style="93" customWidth="1"/>
    <col min="11523" max="11523" width="19.85546875" style="93" customWidth="1"/>
    <col min="11524" max="11524" width="18.140625" style="93" customWidth="1"/>
    <col min="11525" max="11528" width="15.28515625" style="93" customWidth="1"/>
    <col min="11529" max="11529" width="24.85546875" style="93" customWidth="1"/>
    <col min="11530" max="11530" width="15.7109375" style="93" customWidth="1"/>
    <col min="11531" max="11531" width="14" style="93" customWidth="1"/>
    <col min="11532" max="11533" width="17.140625" style="93" customWidth="1"/>
    <col min="11534" max="11534" width="15.85546875" style="93" customWidth="1"/>
    <col min="11535" max="11535" width="52" style="93" customWidth="1"/>
    <col min="11536" max="11536" width="23.140625" style="93" customWidth="1"/>
    <col min="11537" max="11776" width="9.140625" style="93"/>
    <col min="11777" max="11777" width="17.85546875" style="93" customWidth="1"/>
    <col min="11778" max="11778" width="15.85546875" style="93" customWidth="1"/>
    <col min="11779" max="11779" width="19.85546875" style="93" customWidth="1"/>
    <col min="11780" max="11780" width="18.140625" style="93" customWidth="1"/>
    <col min="11781" max="11784" width="15.28515625" style="93" customWidth="1"/>
    <col min="11785" max="11785" width="24.85546875" style="93" customWidth="1"/>
    <col min="11786" max="11786" width="15.7109375" style="93" customWidth="1"/>
    <col min="11787" max="11787" width="14" style="93" customWidth="1"/>
    <col min="11788" max="11789" width="17.140625" style="93" customWidth="1"/>
    <col min="11790" max="11790" width="15.85546875" style="93" customWidth="1"/>
    <col min="11791" max="11791" width="52" style="93" customWidth="1"/>
    <col min="11792" max="11792" width="23.140625" style="93" customWidth="1"/>
    <col min="11793" max="12032" width="9.140625" style="93"/>
    <col min="12033" max="12033" width="17.85546875" style="93" customWidth="1"/>
    <col min="12034" max="12034" width="15.85546875" style="93" customWidth="1"/>
    <col min="12035" max="12035" width="19.85546875" style="93" customWidth="1"/>
    <col min="12036" max="12036" width="18.140625" style="93" customWidth="1"/>
    <col min="12037" max="12040" width="15.28515625" style="93" customWidth="1"/>
    <col min="12041" max="12041" width="24.85546875" style="93" customWidth="1"/>
    <col min="12042" max="12042" width="15.7109375" style="93" customWidth="1"/>
    <col min="12043" max="12043" width="14" style="93" customWidth="1"/>
    <col min="12044" max="12045" width="17.140625" style="93" customWidth="1"/>
    <col min="12046" max="12046" width="15.85546875" style="93" customWidth="1"/>
    <col min="12047" max="12047" width="52" style="93" customWidth="1"/>
    <col min="12048" max="12048" width="23.140625" style="93" customWidth="1"/>
    <col min="12049" max="12288" width="9.140625" style="93"/>
    <col min="12289" max="12289" width="17.85546875" style="93" customWidth="1"/>
    <col min="12290" max="12290" width="15.85546875" style="93" customWidth="1"/>
    <col min="12291" max="12291" width="19.85546875" style="93" customWidth="1"/>
    <col min="12292" max="12292" width="18.140625" style="93" customWidth="1"/>
    <col min="12293" max="12296" width="15.28515625" style="93" customWidth="1"/>
    <col min="12297" max="12297" width="24.85546875" style="93" customWidth="1"/>
    <col min="12298" max="12298" width="15.7109375" style="93" customWidth="1"/>
    <col min="12299" max="12299" width="14" style="93" customWidth="1"/>
    <col min="12300" max="12301" width="17.140625" style="93" customWidth="1"/>
    <col min="12302" max="12302" width="15.85546875" style="93" customWidth="1"/>
    <col min="12303" max="12303" width="52" style="93" customWidth="1"/>
    <col min="12304" max="12304" width="23.140625" style="93" customWidth="1"/>
    <col min="12305" max="12544" width="9.140625" style="93"/>
    <col min="12545" max="12545" width="17.85546875" style="93" customWidth="1"/>
    <col min="12546" max="12546" width="15.85546875" style="93" customWidth="1"/>
    <col min="12547" max="12547" width="19.85546875" style="93" customWidth="1"/>
    <col min="12548" max="12548" width="18.140625" style="93" customWidth="1"/>
    <col min="12549" max="12552" width="15.28515625" style="93" customWidth="1"/>
    <col min="12553" max="12553" width="24.85546875" style="93" customWidth="1"/>
    <col min="12554" max="12554" width="15.7109375" style="93" customWidth="1"/>
    <col min="12555" max="12555" width="14" style="93" customWidth="1"/>
    <col min="12556" max="12557" width="17.140625" style="93" customWidth="1"/>
    <col min="12558" max="12558" width="15.85546875" style="93" customWidth="1"/>
    <col min="12559" max="12559" width="52" style="93" customWidth="1"/>
    <col min="12560" max="12560" width="23.140625" style="93" customWidth="1"/>
    <col min="12561" max="12800" width="9.140625" style="93"/>
    <col min="12801" max="12801" width="17.85546875" style="93" customWidth="1"/>
    <col min="12802" max="12802" width="15.85546875" style="93" customWidth="1"/>
    <col min="12803" max="12803" width="19.85546875" style="93" customWidth="1"/>
    <col min="12804" max="12804" width="18.140625" style="93" customWidth="1"/>
    <col min="12805" max="12808" width="15.28515625" style="93" customWidth="1"/>
    <col min="12809" max="12809" width="24.85546875" style="93" customWidth="1"/>
    <col min="12810" max="12810" width="15.7109375" style="93" customWidth="1"/>
    <col min="12811" max="12811" width="14" style="93" customWidth="1"/>
    <col min="12812" max="12813" width="17.140625" style="93" customWidth="1"/>
    <col min="12814" max="12814" width="15.85546875" style="93" customWidth="1"/>
    <col min="12815" max="12815" width="52" style="93" customWidth="1"/>
    <col min="12816" max="12816" width="23.140625" style="93" customWidth="1"/>
    <col min="12817" max="13056" width="9.140625" style="93"/>
    <col min="13057" max="13057" width="17.85546875" style="93" customWidth="1"/>
    <col min="13058" max="13058" width="15.85546875" style="93" customWidth="1"/>
    <col min="13059" max="13059" width="19.85546875" style="93" customWidth="1"/>
    <col min="13060" max="13060" width="18.140625" style="93" customWidth="1"/>
    <col min="13061" max="13064" width="15.28515625" style="93" customWidth="1"/>
    <col min="13065" max="13065" width="24.85546875" style="93" customWidth="1"/>
    <col min="13066" max="13066" width="15.7109375" style="93" customWidth="1"/>
    <col min="13067" max="13067" width="14" style="93" customWidth="1"/>
    <col min="13068" max="13069" width="17.140625" style="93" customWidth="1"/>
    <col min="13070" max="13070" width="15.85546875" style="93" customWidth="1"/>
    <col min="13071" max="13071" width="52" style="93" customWidth="1"/>
    <col min="13072" max="13072" width="23.140625" style="93" customWidth="1"/>
    <col min="13073" max="13312" width="9.140625" style="93"/>
    <col min="13313" max="13313" width="17.85546875" style="93" customWidth="1"/>
    <col min="13314" max="13314" width="15.85546875" style="93" customWidth="1"/>
    <col min="13315" max="13315" width="19.85546875" style="93" customWidth="1"/>
    <col min="13316" max="13316" width="18.140625" style="93" customWidth="1"/>
    <col min="13317" max="13320" width="15.28515625" style="93" customWidth="1"/>
    <col min="13321" max="13321" width="24.85546875" style="93" customWidth="1"/>
    <col min="13322" max="13322" width="15.7109375" style="93" customWidth="1"/>
    <col min="13323" max="13323" width="14" style="93" customWidth="1"/>
    <col min="13324" max="13325" width="17.140625" style="93" customWidth="1"/>
    <col min="13326" max="13326" width="15.85546875" style="93" customWidth="1"/>
    <col min="13327" max="13327" width="52" style="93" customWidth="1"/>
    <col min="13328" max="13328" width="23.140625" style="93" customWidth="1"/>
    <col min="13329" max="13568" width="9.140625" style="93"/>
    <col min="13569" max="13569" width="17.85546875" style="93" customWidth="1"/>
    <col min="13570" max="13570" width="15.85546875" style="93" customWidth="1"/>
    <col min="13571" max="13571" width="19.85546875" style="93" customWidth="1"/>
    <col min="13572" max="13572" width="18.140625" style="93" customWidth="1"/>
    <col min="13573" max="13576" width="15.28515625" style="93" customWidth="1"/>
    <col min="13577" max="13577" width="24.85546875" style="93" customWidth="1"/>
    <col min="13578" max="13578" width="15.7109375" style="93" customWidth="1"/>
    <col min="13579" max="13579" width="14" style="93" customWidth="1"/>
    <col min="13580" max="13581" width="17.140625" style="93" customWidth="1"/>
    <col min="13582" max="13582" width="15.85546875" style="93" customWidth="1"/>
    <col min="13583" max="13583" width="52" style="93" customWidth="1"/>
    <col min="13584" max="13584" width="23.140625" style="93" customWidth="1"/>
    <col min="13585" max="13824" width="9.140625" style="93"/>
    <col min="13825" max="13825" width="17.85546875" style="93" customWidth="1"/>
    <col min="13826" max="13826" width="15.85546875" style="93" customWidth="1"/>
    <col min="13827" max="13827" width="19.85546875" style="93" customWidth="1"/>
    <col min="13828" max="13828" width="18.140625" style="93" customWidth="1"/>
    <col min="13829" max="13832" width="15.28515625" style="93" customWidth="1"/>
    <col min="13833" max="13833" width="24.85546875" style="93" customWidth="1"/>
    <col min="13834" max="13834" width="15.7109375" style="93" customWidth="1"/>
    <col min="13835" max="13835" width="14" style="93" customWidth="1"/>
    <col min="13836" max="13837" width="17.140625" style="93" customWidth="1"/>
    <col min="13838" max="13838" width="15.85546875" style="93" customWidth="1"/>
    <col min="13839" max="13839" width="52" style="93" customWidth="1"/>
    <col min="13840" max="13840" width="23.140625" style="93" customWidth="1"/>
    <col min="13841" max="14080" width="9.140625" style="93"/>
    <col min="14081" max="14081" width="17.85546875" style="93" customWidth="1"/>
    <col min="14082" max="14082" width="15.85546875" style="93" customWidth="1"/>
    <col min="14083" max="14083" width="19.85546875" style="93" customWidth="1"/>
    <col min="14084" max="14084" width="18.140625" style="93" customWidth="1"/>
    <col min="14085" max="14088" width="15.28515625" style="93" customWidth="1"/>
    <col min="14089" max="14089" width="24.85546875" style="93" customWidth="1"/>
    <col min="14090" max="14090" width="15.7109375" style="93" customWidth="1"/>
    <col min="14091" max="14091" width="14" style="93" customWidth="1"/>
    <col min="14092" max="14093" width="17.140625" style="93" customWidth="1"/>
    <col min="14094" max="14094" width="15.85546875" style="93" customWidth="1"/>
    <col min="14095" max="14095" width="52" style="93" customWidth="1"/>
    <col min="14096" max="14096" width="23.140625" style="93" customWidth="1"/>
    <col min="14097" max="14336" width="9.140625" style="93"/>
    <col min="14337" max="14337" width="17.85546875" style="93" customWidth="1"/>
    <col min="14338" max="14338" width="15.85546875" style="93" customWidth="1"/>
    <col min="14339" max="14339" width="19.85546875" style="93" customWidth="1"/>
    <col min="14340" max="14340" width="18.140625" style="93" customWidth="1"/>
    <col min="14341" max="14344" width="15.28515625" style="93" customWidth="1"/>
    <col min="14345" max="14345" width="24.85546875" style="93" customWidth="1"/>
    <col min="14346" max="14346" width="15.7109375" style="93" customWidth="1"/>
    <col min="14347" max="14347" width="14" style="93" customWidth="1"/>
    <col min="14348" max="14349" width="17.140625" style="93" customWidth="1"/>
    <col min="14350" max="14350" width="15.85546875" style="93" customWidth="1"/>
    <col min="14351" max="14351" width="52" style="93" customWidth="1"/>
    <col min="14352" max="14352" width="23.140625" style="93" customWidth="1"/>
    <col min="14353" max="14592" width="9.140625" style="93"/>
    <col min="14593" max="14593" width="17.85546875" style="93" customWidth="1"/>
    <col min="14594" max="14594" width="15.85546875" style="93" customWidth="1"/>
    <col min="14595" max="14595" width="19.85546875" style="93" customWidth="1"/>
    <col min="14596" max="14596" width="18.140625" style="93" customWidth="1"/>
    <col min="14597" max="14600" width="15.28515625" style="93" customWidth="1"/>
    <col min="14601" max="14601" width="24.85546875" style="93" customWidth="1"/>
    <col min="14602" max="14602" width="15.7109375" style="93" customWidth="1"/>
    <col min="14603" max="14603" width="14" style="93" customWidth="1"/>
    <col min="14604" max="14605" width="17.140625" style="93" customWidth="1"/>
    <col min="14606" max="14606" width="15.85546875" style="93" customWidth="1"/>
    <col min="14607" max="14607" width="52" style="93" customWidth="1"/>
    <col min="14608" max="14608" width="23.140625" style="93" customWidth="1"/>
    <col min="14609" max="14848" width="9.140625" style="93"/>
    <col min="14849" max="14849" width="17.85546875" style="93" customWidth="1"/>
    <col min="14850" max="14850" width="15.85546875" style="93" customWidth="1"/>
    <col min="14851" max="14851" width="19.85546875" style="93" customWidth="1"/>
    <col min="14852" max="14852" width="18.140625" style="93" customWidth="1"/>
    <col min="14853" max="14856" width="15.28515625" style="93" customWidth="1"/>
    <col min="14857" max="14857" width="24.85546875" style="93" customWidth="1"/>
    <col min="14858" max="14858" width="15.7109375" style="93" customWidth="1"/>
    <col min="14859" max="14859" width="14" style="93" customWidth="1"/>
    <col min="14860" max="14861" width="17.140625" style="93" customWidth="1"/>
    <col min="14862" max="14862" width="15.85546875" style="93" customWidth="1"/>
    <col min="14863" max="14863" width="52" style="93" customWidth="1"/>
    <col min="14864" max="14864" width="23.140625" style="93" customWidth="1"/>
    <col min="14865" max="15104" width="9.140625" style="93"/>
    <col min="15105" max="15105" width="17.85546875" style="93" customWidth="1"/>
    <col min="15106" max="15106" width="15.85546875" style="93" customWidth="1"/>
    <col min="15107" max="15107" width="19.85546875" style="93" customWidth="1"/>
    <col min="15108" max="15108" width="18.140625" style="93" customWidth="1"/>
    <col min="15109" max="15112" width="15.28515625" style="93" customWidth="1"/>
    <col min="15113" max="15113" width="24.85546875" style="93" customWidth="1"/>
    <col min="15114" max="15114" width="15.7109375" style="93" customWidth="1"/>
    <col min="15115" max="15115" width="14" style="93" customWidth="1"/>
    <col min="15116" max="15117" width="17.140625" style="93" customWidth="1"/>
    <col min="15118" max="15118" width="15.85546875" style="93" customWidth="1"/>
    <col min="15119" max="15119" width="52" style="93" customWidth="1"/>
    <col min="15120" max="15120" width="23.140625" style="93" customWidth="1"/>
    <col min="15121" max="15360" width="9.140625" style="93"/>
    <col min="15361" max="15361" width="17.85546875" style="93" customWidth="1"/>
    <col min="15362" max="15362" width="15.85546875" style="93" customWidth="1"/>
    <col min="15363" max="15363" width="19.85546875" style="93" customWidth="1"/>
    <col min="15364" max="15364" width="18.140625" style="93" customWidth="1"/>
    <col min="15365" max="15368" width="15.28515625" style="93" customWidth="1"/>
    <col min="15369" max="15369" width="24.85546875" style="93" customWidth="1"/>
    <col min="15370" max="15370" width="15.7109375" style="93" customWidth="1"/>
    <col min="15371" max="15371" width="14" style="93" customWidth="1"/>
    <col min="15372" max="15373" width="17.140625" style="93" customWidth="1"/>
    <col min="15374" max="15374" width="15.85546875" style="93" customWidth="1"/>
    <col min="15375" max="15375" width="52" style="93" customWidth="1"/>
    <col min="15376" max="15376" width="23.140625" style="93" customWidth="1"/>
    <col min="15377" max="15616" width="9.140625" style="93"/>
    <col min="15617" max="15617" width="17.85546875" style="93" customWidth="1"/>
    <col min="15618" max="15618" width="15.85546875" style="93" customWidth="1"/>
    <col min="15619" max="15619" width="19.85546875" style="93" customWidth="1"/>
    <col min="15620" max="15620" width="18.140625" style="93" customWidth="1"/>
    <col min="15621" max="15624" width="15.28515625" style="93" customWidth="1"/>
    <col min="15625" max="15625" width="24.85546875" style="93" customWidth="1"/>
    <col min="15626" max="15626" width="15.7109375" style="93" customWidth="1"/>
    <col min="15627" max="15627" width="14" style="93" customWidth="1"/>
    <col min="15628" max="15629" width="17.140625" style="93" customWidth="1"/>
    <col min="15630" max="15630" width="15.85546875" style="93" customWidth="1"/>
    <col min="15631" max="15631" width="52" style="93" customWidth="1"/>
    <col min="15632" max="15632" width="23.140625" style="93" customWidth="1"/>
    <col min="15633" max="15872" width="9.140625" style="93"/>
    <col min="15873" max="15873" width="17.85546875" style="93" customWidth="1"/>
    <col min="15874" max="15874" width="15.85546875" style="93" customWidth="1"/>
    <col min="15875" max="15875" width="19.85546875" style="93" customWidth="1"/>
    <col min="15876" max="15876" width="18.140625" style="93" customWidth="1"/>
    <col min="15877" max="15880" width="15.28515625" style="93" customWidth="1"/>
    <col min="15881" max="15881" width="24.85546875" style="93" customWidth="1"/>
    <col min="15882" max="15882" width="15.7109375" style="93" customWidth="1"/>
    <col min="15883" max="15883" width="14" style="93" customWidth="1"/>
    <col min="15884" max="15885" width="17.140625" style="93" customWidth="1"/>
    <col min="15886" max="15886" width="15.85546875" style="93" customWidth="1"/>
    <col min="15887" max="15887" width="52" style="93" customWidth="1"/>
    <col min="15888" max="15888" width="23.140625" style="93" customWidth="1"/>
    <col min="15889" max="16128" width="9.140625" style="93"/>
    <col min="16129" max="16129" width="17.85546875" style="93" customWidth="1"/>
    <col min="16130" max="16130" width="15.85546875" style="93" customWidth="1"/>
    <col min="16131" max="16131" width="19.85546875" style="93" customWidth="1"/>
    <col min="16132" max="16132" width="18.140625" style="93" customWidth="1"/>
    <col min="16133" max="16136" width="15.28515625" style="93" customWidth="1"/>
    <col min="16137" max="16137" width="24.85546875" style="93" customWidth="1"/>
    <col min="16138" max="16138" width="15.7109375" style="93" customWidth="1"/>
    <col min="16139" max="16139" width="14" style="93" customWidth="1"/>
    <col min="16140" max="16141" width="17.140625" style="93" customWidth="1"/>
    <col min="16142" max="16142" width="15.85546875" style="93" customWidth="1"/>
    <col min="16143" max="16143" width="52" style="93" customWidth="1"/>
    <col min="16144" max="16144" width="23.140625" style="93" customWidth="1"/>
    <col min="16145" max="16384" width="9.140625" style="93"/>
  </cols>
  <sheetData>
    <row r="1" spans="1:16" ht="18.75" x14ac:dyDescent="0.2">
      <c r="A1" s="751" t="s">
        <v>1064</v>
      </c>
      <c r="B1" s="751"/>
      <c r="C1" s="751"/>
      <c r="D1" s="751"/>
      <c r="E1" s="751"/>
      <c r="F1" s="751"/>
      <c r="G1" s="751"/>
      <c r="H1" s="751"/>
      <c r="I1" s="751"/>
      <c r="J1" s="751"/>
      <c r="K1" s="751"/>
      <c r="L1" s="751"/>
      <c r="M1" s="751"/>
      <c r="N1" s="751"/>
      <c r="O1" s="751"/>
      <c r="P1" s="751"/>
    </row>
    <row r="2" spans="1:16" ht="18.75" x14ac:dyDescent="0.2">
      <c r="A2" s="751" t="s">
        <v>1065</v>
      </c>
      <c r="B2" s="751"/>
      <c r="C2" s="751"/>
      <c r="D2" s="751"/>
      <c r="E2" s="751"/>
      <c r="F2" s="751"/>
      <c r="G2" s="751"/>
      <c r="H2" s="751"/>
      <c r="I2" s="751"/>
      <c r="J2" s="751"/>
      <c r="K2" s="751"/>
      <c r="L2" s="751"/>
      <c r="M2" s="751"/>
      <c r="N2" s="751"/>
      <c r="O2" s="751"/>
      <c r="P2" s="751"/>
    </row>
    <row r="3" spans="1:16" ht="15.75" x14ac:dyDescent="0.2">
      <c r="A3" s="752" t="s">
        <v>0</v>
      </c>
      <c r="B3" s="753"/>
      <c r="C3" s="753"/>
      <c r="D3" s="753"/>
      <c r="E3" s="753"/>
      <c r="F3" s="753"/>
      <c r="G3" s="753"/>
      <c r="H3" s="753"/>
      <c r="I3" s="753"/>
      <c r="J3" s="753"/>
      <c r="K3" s="753"/>
      <c r="L3" s="753"/>
      <c r="M3" s="753"/>
    </row>
    <row r="4" spans="1:16" ht="18" x14ac:dyDescent="0.2">
      <c r="A4" s="754" t="s">
        <v>530</v>
      </c>
      <c r="B4" s="754"/>
      <c r="C4" s="754"/>
      <c r="D4" s="754"/>
      <c r="E4" s="754"/>
      <c r="F4" s="754"/>
      <c r="G4" s="754"/>
      <c r="H4" s="754"/>
      <c r="I4" s="754"/>
      <c r="J4" s="754"/>
      <c r="K4" s="754"/>
      <c r="L4" s="754"/>
      <c r="M4" s="754"/>
      <c r="N4" s="754"/>
      <c r="O4" s="754"/>
      <c r="P4" s="754"/>
    </row>
    <row r="5" spans="1:16" ht="18" x14ac:dyDescent="0.2">
      <c r="A5" s="129"/>
      <c r="B5" s="130"/>
      <c r="C5" s="130"/>
      <c r="D5" s="130"/>
      <c r="E5" s="131"/>
      <c r="F5" s="131"/>
      <c r="G5" s="131"/>
      <c r="H5" s="130"/>
      <c r="I5" s="130"/>
      <c r="J5" s="130"/>
      <c r="K5" s="130"/>
      <c r="L5" s="130"/>
      <c r="M5" s="130"/>
      <c r="N5" s="130"/>
      <c r="O5" s="130"/>
    </row>
    <row r="6" spans="1:16" ht="35.1" customHeight="1" x14ac:dyDescent="0.2"/>
    <row r="7" spans="1:16" ht="35.1" customHeight="1" x14ac:dyDescent="0.2">
      <c r="A7" s="755" t="s">
        <v>531</v>
      </c>
      <c r="B7" s="758" t="s">
        <v>532</v>
      </c>
      <c r="C7" s="760" t="s">
        <v>533</v>
      </c>
      <c r="D7" s="694" t="s">
        <v>534</v>
      </c>
      <c r="E7" s="762" t="s">
        <v>535</v>
      </c>
      <c r="F7" s="762" t="s">
        <v>536</v>
      </c>
      <c r="G7" s="762" t="s">
        <v>1060</v>
      </c>
      <c r="H7" s="764" t="s">
        <v>537</v>
      </c>
      <c r="I7" s="694" t="s">
        <v>538</v>
      </c>
      <c r="J7" s="694" t="s">
        <v>539</v>
      </c>
      <c r="K7" s="767" t="s">
        <v>540</v>
      </c>
      <c r="L7" s="767" t="s">
        <v>541</v>
      </c>
      <c r="M7" s="694" t="s">
        <v>542</v>
      </c>
      <c r="N7" s="694" t="s">
        <v>543</v>
      </c>
      <c r="O7" s="694"/>
      <c r="P7" s="694" t="s">
        <v>544</v>
      </c>
    </row>
    <row r="8" spans="1:16" ht="35.1" customHeight="1" x14ac:dyDescent="0.2">
      <c r="A8" s="756"/>
      <c r="B8" s="759"/>
      <c r="C8" s="761"/>
      <c r="D8" s="694"/>
      <c r="E8" s="763"/>
      <c r="F8" s="763"/>
      <c r="G8" s="763"/>
      <c r="H8" s="765"/>
      <c r="I8" s="695"/>
      <c r="J8" s="695"/>
      <c r="K8" s="767"/>
      <c r="L8" s="767"/>
      <c r="M8" s="695"/>
      <c r="N8" s="694" t="s">
        <v>347</v>
      </c>
      <c r="O8" s="694" t="s">
        <v>348</v>
      </c>
      <c r="P8" s="694"/>
    </row>
    <row r="9" spans="1:16" ht="35.1" customHeight="1" x14ac:dyDescent="0.2">
      <c r="A9" s="757"/>
      <c r="B9" s="759"/>
      <c r="C9" s="761"/>
      <c r="D9" s="694"/>
      <c r="E9" s="763"/>
      <c r="F9" s="763"/>
      <c r="G9" s="763"/>
      <c r="H9" s="765"/>
      <c r="I9" s="695"/>
      <c r="J9" s="695"/>
      <c r="K9" s="767"/>
      <c r="L9" s="767"/>
      <c r="M9" s="695"/>
      <c r="N9" s="694"/>
      <c r="O9" s="694"/>
      <c r="P9" s="694"/>
    </row>
    <row r="10" spans="1:16" ht="35.1" customHeight="1" x14ac:dyDescent="0.2">
      <c r="A10" s="132" t="s">
        <v>1121</v>
      </c>
      <c r="B10" s="133"/>
      <c r="C10" s="132" t="s">
        <v>545</v>
      </c>
      <c r="D10" s="134" t="s">
        <v>1151</v>
      </c>
      <c r="E10" s="126">
        <f>'SP-TRIB. nei lavori 22-24 '!H77</f>
        <v>50000</v>
      </c>
      <c r="F10" s="126">
        <f>'SP-TRIB. nei lavori 22-24 '!N77</f>
        <v>100000</v>
      </c>
      <c r="G10" s="126">
        <f>'SP-TRIB. nei lavori 22-24 '!O77</f>
        <v>100000</v>
      </c>
      <c r="H10" s="127"/>
      <c r="I10" s="80"/>
      <c r="J10" s="135">
        <v>1</v>
      </c>
      <c r="K10" s="80" t="s">
        <v>546</v>
      </c>
      <c r="L10" s="80"/>
      <c r="M10" s="80"/>
      <c r="N10" s="136" t="s">
        <v>359</v>
      </c>
      <c r="O10" s="80" t="s">
        <v>1147</v>
      </c>
      <c r="P10" s="80"/>
    </row>
    <row r="11" spans="1:16" ht="35.1" customHeight="1" x14ac:dyDescent="0.2">
      <c r="A11" s="132" t="s">
        <v>1122</v>
      </c>
      <c r="B11" s="133"/>
      <c r="C11" s="132" t="s">
        <v>548</v>
      </c>
      <c r="D11" s="80" t="s">
        <v>1151</v>
      </c>
      <c r="E11" s="126">
        <f>'SP-TRIB. nei lavori 22-24 '!H78</f>
        <v>20000</v>
      </c>
      <c r="F11" s="126">
        <f>'SP-TRIB. nei lavori 22-24 '!N78</f>
        <v>20000</v>
      </c>
      <c r="G11" s="126">
        <f>'SP-TRIB. nei lavori 22-24 '!O78</f>
        <v>20000</v>
      </c>
      <c r="H11" s="127"/>
      <c r="I11" s="80"/>
      <c r="J11" s="135">
        <v>1</v>
      </c>
      <c r="K11" s="80" t="s">
        <v>546</v>
      </c>
      <c r="L11" s="80"/>
      <c r="M11" s="80"/>
      <c r="N11" s="136" t="s">
        <v>359</v>
      </c>
      <c r="O11" s="80" t="s">
        <v>1147</v>
      </c>
      <c r="P11" s="80"/>
    </row>
    <row r="12" spans="1:16" ht="35.1" customHeight="1" x14ac:dyDescent="0.2">
      <c r="A12" s="132" t="s">
        <v>1123</v>
      </c>
      <c r="B12" s="137"/>
      <c r="C12" s="132" t="s">
        <v>550</v>
      </c>
      <c r="D12" s="80" t="s">
        <v>1151</v>
      </c>
      <c r="E12" s="126">
        <f>'SP-TRIB. nei lavori 22-24 '!H83</f>
        <v>20000</v>
      </c>
      <c r="F12" s="126">
        <f>'SP-TRIB. nei lavori 22-24 '!N83</f>
        <v>20000</v>
      </c>
      <c r="G12" s="126">
        <f>'SP-TRIB. nei lavori 22-24 '!O83</f>
        <v>20000</v>
      </c>
      <c r="H12" s="127"/>
      <c r="I12" s="80"/>
      <c r="J12" s="135">
        <v>1</v>
      </c>
      <c r="K12" s="80" t="s">
        <v>546</v>
      </c>
      <c r="L12" s="80"/>
      <c r="M12" s="80"/>
      <c r="N12" s="136" t="s">
        <v>359</v>
      </c>
      <c r="O12" s="80" t="s">
        <v>1147</v>
      </c>
      <c r="P12" s="80"/>
    </row>
    <row r="13" spans="1:16" ht="35.1" customHeight="1" x14ac:dyDescent="0.2">
      <c r="A13" s="132" t="s">
        <v>1124</v>
      </c>
      <c r="B13" s="137"/>
      <c r="C13" s="132" t="s">
        <v>552</v>
      </c>
      <c r="D13" s="80" t="s">
        <v>1151</v>
      </c>
      <c r="E13" s="126">
        <f>'SP-TRIB. nei lavori 22-24 '!H84</f>
        <v>20000</v>
      </c>
      <c r="F13" s="126">
        <f>'SP-TRIB. nei lavori 22-24 '!N84</f>
        <v>20000</v>
      </c>
      <c r="G13" s="126">
        <f>'SP-TRIB. nei lavori 22-24 '!O84</f>
        <v>20000</v>
      </c>
      <c r="H13" s="127"/>
      <c r="I13" s="80"/>
      <c r="J13" s="135">
        <v>1</v>
      </c>
      <c r="K13" s="80" t="s">
        <v>546</v>
      </c>
      <c r="L13" s="80"/>
      <c r="M13" s="80"/>
      <c r="N13" s="136" t="s">
        <v>359</v>
      </c>
      <c r="O13" s="80" t="s">
        <v>1147</v>
      </c>
      <c r="P13" s="80"/>
    </row>
    <row r="14" spans="1:16" ht="46.5" customHeight="1" x14ac:dyDescent="0.2">
      <c r="A14" s="132" t="s">
        <v>1125</v>
      </c>
      <c r="B14" s="137"/>
      <c r="C14" s="132" t="s">
        <v>549</v>
      </c>
      <c r="D14" s="80"/>
      <c r="E14" s="126">
        <f>'SP-TRIB. nei lavori 22-24 '!H85</f>
        <v>0</v>
      </c>
      <c r="F14" s="126">
        <v>0</v>
      </c>
      <c r="G14" s="126">
        <v>0</v>
      </c>
      <c r="H14" s="127"/>
      <c r="I14" s="80"/>
      <c r="J14" s="135">
        <v>1</v>
      </c>
      <c r="K14" s="80" t="s">
        <v>546</v>
      </c>
      <c r="L14" s="80"/>
      <c r="M14" s="80"/>
      <c r="N14" s="136" t="s">
        <v>359</v>
      </c>
      <c r="O14" s="80" t="s">
        <v>1147</v>
      </c>
      <c r="P14" s="80"/>
    </row>
    <row r="15" spans="1:16" ht="40.5" customHeight="1" x14ac:dyDescent="0.2">
      <c r="A15" s="132" t="s">
        <v>1126</v>
      </c>
      <c r="B15" s="137"/>
      <c r="C15" s="132" t="s">
        <v>553</v>
      </c>
      <c r="D15" s="80" t="s">
        <v>1151</v>
      </c>
      <c r="E15" s="126">
        <f>'SP-TRIB. nei lavori 22-24 '!H87</f>
        <v>21365.47</v>
      </c>
      <c r="F15" s="126">
        <f>'SP-TRIB. nei lavori 22-24 '!N87</f>
        <v>21365.47</v>
      </c>
      <c r="G15" s="126">
        <f>'SP-TRIB. nei lavori 22-24 '!O87</f>
        <v>21365.47</v>
      </c>
      <c r="H15" s="127"/>
      <c r="I15" s="80"/>
      <c r="J15" s="135">
        <v>1</v>
      </c>
      <c r="K15" s="80" t="s">
        <v>546</v>
      </c>
      <c r="L15" s="80"/>
      <c r="M15" s="80"/>
      <c r="N15" s="136" t="s">
        <v>359</v>
      </c>
      <c r="O15" s="80" t="s">
        <v>1147</v>
      </c>
      <c r="P15" s="80"/>
    </row>
    <row r="16" spans="1:16" ht="42.75" customHeight="1" x14ac:dyDescent="0.2">
      <c r="A16" s="132" t="s">
        <v>1127</v>
      </c>
      <c r="B16" s="137"/>
      <c r="C16" s="132" t="s">
        <v>555</v>
      </c>
      <c r="D16" s="80" t="s">
        <v>1151</v>
      </c>
      <c r="E16" s="126">
        <f>'SP-TRIB. nei lavori 22-24 '!H88</f>
        <v>238000</v>
      </c>
      <c r="F16" s="126">
        <f>'SP-TRIB. nei lavori 22-24 '!N88</f>
        <v>225000</v>
      </c>
      <c r="G16" s="126">
        <f>'SP-TRIB. nei lavori 22-24 '!O88</f>
        <v>125000</v>
      </c>
      <c r="H16" s="127"/>
      <c r="I16" s="80"/>
      <c r="J16" s="135">
        <v>1</v>
      </c>
      <c r="K16" s="80" t="s">
        <v>546</v>
      </c>
      <c r="L16" s="80"/>
      <c r="M16" s="80"/>
      <c r="N16" s="136" t="s">
        <v>359</v>
      </c>
      <c r="O16" s="80" t="s">
        <v>1147</v>
      </c>
      <c r="P16" s="80"/>
    </row>
    <row r="17" spans="1:16" ht="35.1" customHeight="1" x14ac:dyDescent="0.2">
      <c r="A17" s="132" t="s">
        <v>1128</v>
      </c>
      <c r="B17" s="137"/>
      <c r="C17" s="132" t="s">
        <v>1061</v>
      </c>
      <c r="D17" s="80" t="s">
        <v>1151</v>
      </c>
      <c r="E17" s="126">
        <f>'SP-TRIB. nei lavori 22-24 '!H89</f>
        <v>20000</v>
      </c>
      <c r="F17" s="126">
        <v>0</v>
      </c>
      <c r="G17" s="126">
        <v>0</v>
      </c>
      <c r="H17" s="127"/>
      <c r="I17" s="80"/>
      <c r="J17" s="135">
        <v>1</v>
      </c>
      <c r="K17" s="80" t="s">
        <v>546</v>
      </c>
      <c r="L17" s="80"/>
      <c r="M17" s="80"/>
      <c r="N17" s="136" t="s">
        <v>359</v>
      </c>
      <c r="O17" s="80" t="s">
        <v>1147</v>
      </c>
      <c r="P17" s="80"/>
    </row>
    <row r="18" spans="1:16" ht="35.1" customHeight="1" x14ac:dyDescent="0.2">
      <c r="A18" s="132" t="s">
        <v>1129</v>
      </c>
      <c r="B18" s="137"/>
      <c r="C18" s="132" t="s">
        <v>1062</v>
      </c>
      <c r="D18" s="80" t="s">
        <v>1151</v>
      </c>
      <c r="E18" s="147">
        <f>'SP-TRIB. nei lavori 22-24 '!H90</f>
        <v>22500</v>
      </c>
      <c r="F18" s="147">
        <v>0</v>
      </c>
      <c r="G18" s="147">
        <v>0</v>
      </c>
      <c r="H18" s="148"/>
      <c r="I18" s="80"/>
      <c r="J18" s="135">
        <v>1</v>
      </c>
      <c r="K18" s="80" t="s">
        <v>546</v>
      </c>
      <c r="L18" s="80"/>
      <c r="M18" s="80"/>
      <c r="N18" s="136" t="s">
        <v>359</v>
      </c>
      <c r="O18" s="80" t="s">
        <v>1147</v>
      </c>
      <c r="P18" s="80"/>
    </row>
    <row r="19" spans="1:16" ht="35.1" customHeight="1" x14ac:dyDescent="0.2">
      <c r="A19" s="132" t="s">
        <v>1130</v>
      </c>
      <c r="B19" s="137"/>
      <c r="C19" s="132" t="s">
        <v>1063</v>
      </c>
      <c r="D19" s="80" t="s">
        <v>1151</v>
      </c>
      <c r="E19" s="147">
        <f>'SP-TRIB. nei lavori 22-24 '!H100</f>
        <v>30000</v>
      </c>
      <c r="F19" s="147">
        <f>'SP-TRIB. nei lavori 22-24 '!N100</f>
        <v>30000</v>
      </c>
      <c r="G19" s="147">
        <f>'SP-TRIB. nei lavori 22-24 '!O100</f>
        <v>30000</v>
      </c>
      <c r="H19" s="148"/>
      <c r="I19" s="80"/>
      <c r="J19" s="135"/>
      <c r="K19" s="80"/>
      <c r="L19" s="80"/>
      <c r="M19" s="80"/>
      <c r="N19" s="136"/>
      <c r="O19" s="80" t="s">
        <v>1147</v>
      </c>
      <c r="P19" s="80"/>
    </row>
    <row r="20" spans="1:16" ht="43.5" customHeight="1" x14ac:dyDescent="0.2">
      <c r="A20" s="132" t="s">
        <v>1131</v>
      </c>
      <c r="B20" s="137"/>
      <c r="C20" s="658" t="s">
        <v>556</v>
      </c>
      <c r="D20" s="109" t="s">
        <v>1151</v>
      </c>
      <c r="E20" s="659">
        <f>'trib ins.def. nei lavori 22-24'!H4</f>
        <v>3000</v>
      </c>
      <c r="F20" s="126">
        <f>'SP-TRIB. nei lavori 22-24 '!N101</f>
        <v>3000</v>
      </c>
      <c r="G20" s="126">
        <f>'SP-TRIB. nei lavori 22-24 '!O101</f>
        <v>3000</v>
      </c>
      <c r="H20" s="127"/>
      <c r="I20" s="80"/>
      <c r="J20" s="135">
        <v>1</v>
      </c>
      <c r="K20" s="80" t="s">
        <v>546</v>
      </c>
      <c r="L20" s="80"/>
      <c r="M20" s="80"/>
      <c r="N20" s="136" t="s">
        <v>359</v>
      </c>
      <c r="O20" s="80" t="s">
        <v>1147</v>
      </c>
      <c r="P20" s="80"/>
    </row>
    <row r="21" spans="1:16" ht="42.75" customHeight="1" x14ac:dyDescent="0.2">
      <c r="A21" s="132" t="s">
        <v>1132</v>
      </c>
      <c r="B21" s="137"/>
      <c r="C21" s="132" t="s">
        <v>1006</v>
      </c>
      <c r="D21" s="80" t="s">
        <v>1151</v>
      </c>
      <c r="E21" s="147">
        <v>150000</v>
      </c>
      <c r="F21" s="147">
        <v>50000</v>
      </c>
      <c r="G21" s="147">
        <v>35000</v>
      </c>
      <c r="H21" s="127"/>
      <c r="I21" s="80"/>
      <c r="J21" s="135">
        <v>1</v>
      </c>
      <c r="K21" s="80" t="s">
        <v>546</v>
      </c>
      <c r="L21" s="80"/>
      <c r="M21" s="80"/>
      <c r="N21" s="136" t="s">
        <v>359</v>
      </c>
      <c r="O21" s="80" t="s">
        <v>1147</v>
      </c>
      <c r="P21" s="80"/>
    </row>
    <row r="22" spans="1:16" ht="63.75" x14ac:dyDescent="0.2">
      <c r="A22" s="132" t="s">
        <v>1133</v>
      </c>
      <c r="B22" s="137"/>
      <c r="C22" s="132" t="s">
        <v>1008</v>
      </c>
      <c r="D22" s="80" t="s">
        <v>1151</v>
      </c>
      <c r="E22" s="147">
        <v>35000</v>
      </c>
      <c r="F22" s="147">
        <v>35000</v>
      </c>
      <c r="G22" s="147">
        <v>0</v>
      </c>
      <c r="H22" s="127"/>
      <c r="I22" s="80"/>
      <c r="J22" s="135">
        <v>1</v>
      </c>
      <c r="K22" s="80" t="s">
        <v>546</v>
      </c>
      <c r="L22" s="80"/>
      <c r="M22" s="80"/>
      <c r="N22" s="136" t="s">
        <v>359</v>
      </c>
      <c r="O22" s="80" t="s">
        <v>1147</v>
      </c>
      <c r="P22" s="80"/>
    </row>
    <row r="23" spans="1:16" ht="35.1" customHeight="1" x14ac:dyDescent="0.2">
      <c r="A23" s="132" t="s">
        <v>1134</v>
      </c>
      <c r="B23" s="137"/>
      <c r="C23" s="132" t="s">
        <v>1009</v>
      </c>
      <c r="D23" s="80" t="s">
        <v>1152</v>
      </c>
      <c r="E23" s="147">
        <v>40000</v>
      </c>
      <c r="F23" s="147">
        <v>0</v>
      </c>
      <c r="G23" s="147">
        <v>0</v>
      </c>
      <c r="H23" s="127"/>
      <c r="I23" s="80"/>
      <c r="J23" s="135">
        <v>1</v>
      </c>
      <c r="K23" s="80" t="s">
        <v>546</v>
      </c>
      <c r="L23" s="80"/>
      <c r="M23" s="80"/>
      <c r="N23" s="136" t="s">
        <v>359</v>
      </c>
      <c r="O23" s="80" t="s">
        <v>1147</v>
      </c>
      <c r="P23" s="80"/>
    </row>
    <row r="24" spans="1:16" ht="35.1" customHeight="1" x14ac:dyDescent="0.2">
      <c r="A24" s="132" t="s">
        <v>1135</v>
      </c>
      <c r="B24" s="137"/>
      <c r="C24" s="132" t="s">
        <v>1010</v>
      </c>
      <c r="D24" s="80" t="s">
        <v>1151</v>
      </c>
      <c r="E24" s="147">
        <v>100000</v>
      </c>
      <c r="F24" s="147">
        <v>0</v>
      </c>
      <c r="G24" s="147">
        <v>0</v>
      </c>
      <c r="H24" s="127"/>
      <c r="I24" s="80"/>
      <c r="J24" s="135">
        <v>1</v>
      </c>
      <c r="K24" s="80" t="s">
        <v>546</v>
      </c>
      <c r="L24" s="80"/>
      <c r="M24" s="80"/>
      <c r="N24" s="136" t="s">
        <v>359</v>
      </c>
      <c r="O24" s="80" t="s">
        <v>1147</v>
      </c>
      <c r="P24" s="80"/>
    </row>
    <row r="25" spans="1:16" ht="35.1" customHeight="1" x14ac:dyDescent="0.2">
      <c r="A25" s="132" t="s">
        <v>1136</v>
      </c>
      <c r="B25" s="137"/>
      <c r="C25" s="132" t="s">
        <v>1015</v>
      </c>
      <c r="D25" s="80" t="s">
        <v>1151</v>
      </c>
      <c r="E25" s="147">
        <v>20000</v>
      </c>
      <c r="F25" s="147">
        <v>200000</v>
      </c>
      <c r="G25" s="147">
        <v>100000</v>
      </c>
      <c r="H25" s="127"/>
      <c r="I25" s="80"/>
      <c r="J25" s="135">
        <v>1</v>
      </c>
      <c r="K25" s="80" t="s">
        <v>546</v>
      </c>
      <c r="L25" s="80"/>
      <c r="M25" s="80"/>
      <c r="N25" s="136" t="s">
        <v>359</v>
      </c>
      <c r="O25" s="80" t="s">
        <v>1147</v>
      </c>
      <c r="P25" s="80"/>
    </row>
    <row r="26" spans="1:16" ht="35.1" customHeight="1" x14ac:dyDescent="0.2">
      <c r="A26" s="132" t="s">
        <v>1137</v>
      </c>
      <c r="B26" s="137"/>
      <c r="C26" s="132" t="s">
        <v>1017</v>
      </c>
      <c r="D26" s="80" t="s">
        <v>1151</v>
      </c>
      <c r="E26" s="147">
        <v>50000</v>
      </c>
      <c r="F26" s="147">
        <v>100000</v>
      </c>
      <c r="G26" s="147">
        <v>0</v>
      </c>
      <c r="H26" s="127"/>
      <c r="I26" s="80"/>
      <c r="J26" s="135">
        <v>1</v>
      </c>
      <c r="K26" s="80" t="s">
        <v>546</v>
      </c>
      <c r="L26" s="80"/>
      <c r="M26" s="80"/>
      <c r="N26" s="136" t="s">
        <v>359</v>
      </c>
      <c r="O26" s="80" t="s">
        <v>1147</v>
      </c>
      <c r="P26" s="80"/>
    </row>
    <row r="27" spans="1:16" ht="35.1" customHeight="1" x14ac:dyDescent="0.2">
      <c r="A27" s="132" t="s">
        <v>1138</v>
      </c>
      <c r="B27" s="137"/>
      <c r="C27" s="132" t="s">
        <v>1018</v>
      </c>
      <c r="D27" s="80" t="s">
        <v>1151</v>
      </c>
      <c r="E27" s="147">
        <v>23000</v>
      </c>
      <c r="F27" s="147">
        <v>0</v>
      </c>
      <c r="G27" s="147">
        <v>0</v>
      </c>
      <c r="H27" s="127"/>
      <c r="I27" s="80"/>
      <c r="J27" s="135">
        <v>1</v>
      </c>
      <c r="K27" s="80" t="s">
        <v>546</v>
      </c>
      <c r="L27" s="80"/>
      <c r="M27" s="80"/>
      <c r="N27" s="136" t="s">
        <v>359</v>
      </c>
      <c r="O27" s="80" t="s">
        <v>1147</v>
      </c>
      <c r="P27" s="80"/>
    </row>
    <row r="28" spans="1:16" ht="35.1" customHeight="1" x14ac:dyDescent="0.2">
      <c r="A28" s="132" t="s">
        <v>1139</v>
      </c>
      <c r="B28" s="137"/>
      <c r="C28" s="132" t="s">
        <v>1019</v>
      </c>
      <c r="D28" s="80" t="s">
        <v>1151</v>
      </c>
      <c r="E28" s="147">
        <v>0</v>
      </c>
      <c r="F28" s="147">
        <v>65000</v>
      </c>
      <c r="G28" s="147">
        <v>0</v>
      </c>
      <c r="H28" s="148"/>
      <c r="I28" s="80"/>
      <c r="J28" s="135">
        <v>1</v>
      </c>
      <c r="K28" s="80" t="s">
        <v>546</v>
      </c>
      <c r="L28" s="80"/>
      <c r="M28" s="80"/>
      <c r="N28" s="136" t="s">
        <v>359</v>
      </c>
      <c r="O28" s="80" t="s">
        <v>1147</v>
      </c>
      <c r="P28" s="80"/>
    </row>
    <row r="29" spans="1:16" ht="35.1" customHeight="1" x14ac:dyDescent="0.2">
      <c r="A29" s="132" t="s">
        <v>1140</v>
      </c>
      <c r="B29" s="137"/>
      <c r="C29" s="132" t="s">
        <v>1020</v>
      </c>
      <c r="D29" s="80" t="s">
        <v>1151</v>
      </c>
      <c r="E29" s="147">
        <v>20000</v>
      </c>
      <c r="F29" s="147">
        <v>25000</v>
      </c>
      <c r="G29" s="147">
        <v>0</v>
      </c>
      <c r="H29" s="148"/>
      <c r="I29" s="80"/>
      <c r="J29" s="135">
        <v>1</v>
      </c>
      <c r="K29" s="80" t="s">
        <v>546</v>
      </c>
      <c r="L29" s="80"/>
      <c r="M29" s="80"/>
      <c r="N29" s="136" t="s">
        <v>359</v>
      </c>
      <c r="O29" s="80" t="s">
        <v>1147</v>
      </c>
      <c r="P29" s="80"/>
    </row>
    <row r="30" spans="1:16" ht="35.1" customHeight="1" x14ac:dyDescent="0.2">
      <c r="A30" s="132" t="s">
        <v>1141</v>
      </c>
      <c r="B30" s="137"/>
      <c r="C30" s="132" t="s">
        <v>1021</v>
      </c>
      <c r="D30" s="80" t="s">
        <v>1151</v>
      </c>
      <c r="E30" s="147">
        <v>0</v>
      </c>
      <c r="F30" s="147">
        <v>35000</v>
      </c>
      <c r="G30" s="147">
        <v>0</v>
      </c>
      <c r="H30" s="148"/>
      <c r="I30" s="80"/>
      <c r="J30" s="135">
        <v>1</v>
      </c>
      <c r="K30" s="80" t="s">
        <v>546</v>
      </c>
      <c r="L30" s="80"/>
      <c r="M30" s="80"/>
      <c r="N30" s="136" t="s">
        <v>359</v>
      </c>
      <c r="O30" s="80" t="s">
        <v>1147</v>
      </c>
      <c r="P30" s="80"/>
    </row>
    <row r="31" spans="1:16" ht="35.1" customHeight="1" x14ac:dyDescent="0.2">
      <c r="A31" s="132" t="s">
        <v>1142</v>
      </c>
      <c r="B31" s="137"/>
      <c r="C31" s="132" t="s">
        <v>1023</v>
      </c>
      <c r="D31" s="80" t="s">
        <v>1151</v>
      </c>
      <c r="E31" s="147">
        <v>30000</v>
      </c>
      <c r="F31" s="147">
        <v>0</v>
      </c>
      <c r="G31" s="147">
        <v>100000</v>
      </c>
      <c r="H31" s="148"/>
      <c r="I31" s="80"/>
      <c r="J31" s="135">
        <v>1</v>
      </c>
      <c r="K31" s="80" t="s">
        <v>546</v>
      </c>
      <c r="L31" s="80"/>
      <c r="M31" s="80"/>
      <c r="N31" s="136" t="s">
        <v>359</v>
      </c>
      <c r="O31" s="80" t="s">
        <v>1147</v>
      </c>
      <c r="P31" s="80"/>
    </row>
    <row r="32" spans="1:16" ht="35.1" customHeight="1" x14ac:dyDescent="0.2">
      <c r="A32" s="132" t="s">
        <v>1143</v>
      </c>
      <c r="B32" s="137"/>
      <c r="C32" s="132" t="s">
        <v>1024</v>
      </c>
      <c r="D32" s="80" t="s">
        <v>1151</v>
      </c>
      <c r="E32" s="147">
        <v>0</v>
      </c>
      <c r="F32" s="147">
        <v>0</v>
      </c>
      <c r="G32" s="147">
        <v>0</v>
      </c>
      <c r="H32" s="148"/>
      <c r="I32" s="80"/>
      <c r="J32" s="135">
        <v>1</v>
      </c>
      <c r="K32" s="80" t="s">
        <v>546</v>
      </c>
      <c r="L32" s="80"/>
      <c r="M32" s="80"/>
      <c r="N32" s="136" t="s">
        <v>359</v>
      </c>
      <c r="O32" s="80" t="s">
        <v>1147</v>
      </c>
      <c r="P32" s="80"/>
    </row>
    <row r="33" spans="1:16" ht="35.1" customHeight="1" x14ac:dyDescent="0.2">
      <c r="A33" s="132" t="s">
        <v>1144</v>
      </c>
      <c r="B33" s="137"/>
      <c r="C33" s="132" t="s">
        <v>1025</v>
      </c>
      <c r="D33" s="80" t="s">
        <v>1151</v>
      </c>
      <c r="E33" s="147">
        <v>0</v>
      </c>
      <c r="F33" s="147">
        <v>15000</v>
      </c>
      <c r="G33" s="147">
        <v>0</v>
      </c>
      <c r="H33" s="148"/>
      <c r="I33" s="80"/>
      <c r="J33" s="135">
        <v>1</v>
      </c>
      <c r="K33" s="80" t="s">
        <v>546</v>
      </c>
      <c r="L33" s="80"/>
      <c r="M33" s="80"/>
      <c r="N33" s="136" t="s">
        <v>359</v>
      </c>
      <c r="O33" s="80" t="s">
        <v>1147</v>
      </c>
      <c r="P33" s="80"/>
    </row>
    <row r="34" spans="1:16" ht="35.1" customHeight="1" x14ac:dyDescent="0.2">
      <c r="A34" s="132" t="s">
        <v>1145</v>
      </c>
      <c r="B34" s="137"/>
      <c r="C34" s="132" t="s">
        <v>1028</v>
      </c>
      <c r="D34" s="80" t="s">
        <v>1151</v>
      </c>
      <c r="E34" s="147">
        <v>50000</v>
      </c>
      <c r="F34" s="147">
        <v>0</v>
      </c>
      <c r="G34" s="147">
        <v>0</v>
      </c>
      <c r="H34" s="148"/>
      <c r="I34" s="80"/>
      <c r="J34" s="135">
        <v>1</v>
      </c>
      <c r="K34" s="80" t="s">
        <v>546</v>
      </c>
      <c r="L34" s="80"/>
      <c r="M34" s="80"/>
      <c r="N34" s="136" t="s">
        <v>359</v>
      </c>
      <c r="O34" s="80" t="s">
        <v>1147</v>
      </c>
      <c r="P34" s="80"/>
    </row>
    <row r="35" spans="1:16" ht="35.1" customHeight="1" x14ac:dyDescent="0.2">
      <c r="A35" s="132" t="s">
        <v>1146</v>
      </c>
      <c r="B35" s="137"/>
      <c r="C35" s="132" t="s">
        <v>1029</v>
      </c>
      <c r="D35" s="80" t="s">
        <v>1151</v>
      </c>
      <c r="E35" s="147">
        <v>12000</v>
      </c>
      <c r="F35" s="147">
        <v>12000</v>
      </c>
      <c r="G35" s="147">
        <v>0</v>
      </c>
      <c r="H35" s="148"/>
      <c r="I35" s="80"/>
      <c r="J35" s="135">
        <v>1</v>
      </c>
      <c r="K35" s="80" t="s">
        <v>546</v>
      </c>
      <c r="L35" s="80"/>
      <c r="M35" s="80"/>
      <c r="N35" s="136" t="s">
        <v>359</v>
      </c>
      <c r="O35" s="80" t="s">
        <v>1147</v>
      </c>
      <c r="P35" s="80"/>
    </row>
    <row r="36" spans="1:16" ht="35.1" customHeight="1" x14ac:dyDescent="0.2">
      <c r="A36" s="661"/>
      <c r="B36" s="662"/>
      <c r="C36" s="663"/>
      <c r="D36" s="138"/>
      <c r="E36" s="147">
        <f>SUM(E10:E35)</f>
        <v>974865.47</v>
      </c>
      <c r="F36" s="147">
        <f>SUM(F10:F35)</f>
        <v>976365.47</v>
      </c>
      <c r="G36" s="147">
        <f>SUM(G10:G35)</f>
        <v>574365.47</v>
      </c>
      <c r="H36" s="664"/>
      <c r="I36" s="138"/>
      <c r="J36" s="665"/>
      <c r="K36" s="138"/>
      <c r="L36" s="138"/>
      <c r="M36" s="138"/>
      <c r="N36" s="666"/>
      <c r="O36" s="138"/>
      <c r="P36" s="138"/>
    </row>
    <row r="37" spans="1:16" s="652" customFormat="1" ht="22.5" customHeight="1" x14ac:dyDescent="0.2">
      <c r="A37" s="731" t="s">
        <v>1155</v>
      </c>
      <c r="B37" s="731"/>
      <c r="C37" s="731"/>
      <c r="D37" s="731"/>
      <c r="E37" s="731"/>
      <c r="F37" s="731"/>
      <c r="G37" s="731"/>
      <c r="H37" s="731"/>
      <c r="I37" s="731"/>
      <c r="J37" s="731"/>
      <c r="K37" s="731"/>
      <c r="L37" s="731"/>
      <c r="M37" s="731"/>
      <c r="N37" s="731"/>
      <c r="O37" s="669"/>
      <c r="P37" s="669"/>
    </row>
    <row r="38" spans="1:16" s="652" customFormat="1" x14ac:dyDescent="0.2"/>
    <row r="39" spans="1:16" s="652" customFormat="1" x14ac:dyDescent="0.2">
      <c r="A39" s="768" t="s">
        <v>557</v>
      </c>
      <c r="B39" s="768"/>
      <c r="C39" s="768"/>
      <c r="D39" s="768"/>
      <c r="E39" s="768"/>
      <c r="F39" s="768"/>
      <c r="G39" s="768"/>
      <c r="H39" s="768"/>
      <c r="I39" s="768"/>
      <c r="J39" s="768"/>
      <c r="K39" s="768"/>
      <c r="L39" s="768"/>
      <c r="M39" s="768"/>
      <c r="N39" s="768"/>
      <c r="O39" s="768"/>
      <c r="P39" s="768"/>
    </row>
    <row r="40" spans="1:16" s="652" customFormat="1" x14ac:dyDescent="0.2">
      <c r="A40" s="654"/>
      <c r="B40" s="654"/>
      <c r="C40" s="654"/>
      <c r="D40" s="654"/>
      <c r="E40" s="654"/>
      <c r="F40" s="654"/>
      <c r="G40" s="654"/>
      <c r="H40" s="654"/>
      <c r="I40" s="654"/>
      <c r="J40" s="654"/>
      <c r="K40" s="654"/>
      <c r="L40" s="654"/>
      <c r="M40" s="654"/>
      <c r="N40" s="654"/>
      <c r="O40" s="654"/>
      <c r="P40" s="654"/>
    </row>
    <row r="41" spans="1:16" s="652" customFormat="1" x14ac:dyDescent="0.2">
      <c r="A41" s="670" t="s">
        <v>558</v>
      </c>
    </row>
    <row r="42" spans="1:16" s="652" customFormat="1" x14ac:dyDescent="0.2">
      <c r="A42" s="766" t="s">
        <v>559</v>
      </c>
      <c r="B42" s="766"/>
      <c r="C42" s="766"/>
      <c r="D42" s="766"/>
      <c r="E42" s="766"/>
      <c r="F42" s="766"/>
      <c r="G42" s="766"/>
      <c r="H42" s="766"/>
      <c r="I42" s="766"/>
      <c r="J42" s="766"/>
      <c r="K42" s="766"/>
      <c r="L42" s="766"/>
      <c r="M42" s="766"/>
    </row>
    <row r="43" spans="1:16" s="652" customFormat="1" x14ac:dyDescent="0.2">
      <c r="A43" s="768" t="s">
        <v>560</v>
      </c>
      <c r="B43" s="768"/>
      <c r="C43" s="768"/>
      <c r="D43" s="768"/>
      <c r="E43" s="768"/>
      <c r="F43" s="768"/>
      <c r="G43" s="768"/>
      <c r="H43" s="768"/>
      <c r="I43" s="768"/>
      <c r="J43" s="768"/>
      <c r="K43" s="768"/>
      <c r="L43" s="768"/>
      <c r="M43" s="768"/>
    </row>
    <row r="44" spans="1:16" s="652" customFormat="1" x14ac:dyDescent="0.2">
      <c r="A44" s="766" t="s">
        <v>561</v>
      </c>
      <c r="B44" s="766"/>
      <c r="C44" s="766"/>
      <c r="L44" s="669" t="s">
        <v>462</v>
      </c>
      <c r="M44" s="669"/>
      <c r="N44" s="669"/>
    </row>
    <row r="45" spans="1:16" s="652" customFormat="1" x14ac:dyDescent="0.2">
      <c r="A45" s="766" t="s">
        <v>562</v>
      </c>
      <c r="B45" s="766"/>
      <c r="C45" s="766"/>
      <c r="L45" s="669" t="s">
        <v>464</v>
      </c>
      <c r="M45" s="669"/>
      <c r="N45" s="669"/>
    </row>
    <row r="46" spans="1:16" s="652" customFormat="1" x14ac:dyDescent="0.2">
      <c r="A46" s="766" t="s">
        <v>563</v>
      </c>
      <c r="B46" s="766"/>
      <c r="C46" s="766"/>
    </row>
    <row r="47" spans="1:16" s="652" customFormat="1" x14ac:dyDescent="0.2">
      <c r="A47" s="766" t="s">
        <v>564</v>
      </c>
      <c r="B47" s="766"/>
      <c r="C47" s="766"/>
    </row>
    <row r="48" spans="1:16" s="652" customFormat="1" x14ac:dyDescent="0.2">
      <c r="A48" s="766" t="s">
        <v>565</v>
      </c>
      <c r="B48" s="766"/>
      <c r="C48" s="766"/>
    </row>
    <row r="49" spans="1:13" s="652" customFormat="1" x14ac:dyDescent="0.2">
      <c r="A49" s="766" t="s">
        <v>566</v>
      </c>
      <c r="B49" s="766"/>
      <c r="C49" s="766"/>
    </row>
    <row r="50" spans="1:13" s="652" customFormat="1" x14ac:dyDescent="0.2">
      <c r="A50" s="766" t="s">
        <v>567</v>
      </c>
      <c r="B50" s="766"/>
      <c r="C50" s="766"/>
    </row>
    <row r="51" spans="1:13" s="652" customFormat="1" x14ac:dyDescent="0.2"/>
    <row r="52" spans="1:13" s="652" customFormat="1" x14ac:dyDescent="0.2">
      <c r="A52" s="670" t="s">
        <v>568</v>
      </c>
    </row>
    <row r="53" spans="1:13" s="652" customFormat="1" x14ac:dyDescent="0.2">
      <c r="A53" s="766" t="s">
        <v>569</v>
      </c>
      <c r="B53" s="766"/>
      <c r="C53" s="766"/>
      <c r="D53" s="766"/>
      <c r="E53" s="766"/>
      <c r="F53" s="766"/>
      <c r="G53" s="766"/>
      <c r="H53" s="766"/>
      <c r="I53" s="766"/>
      <c r="J53" s="766"/>
      <c r="K53" s="766"/>
      <c r="L53" s="766"/>
      <c r="M53" s="766"/>
    </row>
    <row r="54" spans="1:13" s="652" customFormat="1" ht="12.75" customHeight="1" x14ac:dyDescent="0.2">
      <c r="A54" s="766" t="s">
        <v>570</v>
      </c>
      <c r="B54" s="766"/>
      <c r="C54" s="766"/>
      <c r="D54" s="766"/>
      <c r="E54" s="766"/>
      <c r="F54" s="766"/>
      <c r="G54" s="766"/>
      <c r="H54" s="766"/>
      <c r="I54" s="766"/>
      <c r="J54" s="766"/>
      <c r="K54" s="766"/>
      <c r="L54" s="766"/>
      <c r="M54" s="766"/>
    </row>
    <row r="55" spans="1:13" s="652" customFormat="1" x14ac:dyDescent="0.2">
      <c r="A55" s="766" t="s">
        <v>571</v>
      </c>
      <c r="B55" s="766"/>
    </row>
    <row r="56" spans="1:13" s="652" customFormat="1" x14ac:dyDescent="0.2">
      <c r="A56" s="766" t="s">
        <v>572</v>
      </c>
      <c r="B56" s="766"/>
    </row>
    <row r="57" spans="1:13" s="652" customFormat="1" x14ac:dyDescent="0.2"/>
    <row r="58" spans="1:13" s="652" customFormat="1" x14ac:dyDescent="0.2"/>
    <row r="59" spans="1:13" s="652" customFormat="1" x14ac:dyDescent="0.2"/>
  </sheetData>
  <mergeCells count="36">
    <mergeCell ref="A46:C46"/>
    <mergeCell ref="A56:B56"/>
    <mergeCell ref="A48:C48"/>
    <mergeCell ref="A49:C49"/>
    <mergeCell ref="A50:C50"/>
    <mergeCell ref="A53:M53"/>
    <mergeCell ref="A54:M54"/>
    <mergeCell ref="A55:B55"/>
    <mergeCell ref="A47:C47"/>
    <mergeCell ref="A44:C44"/>
    <mergeCell ref="A45:C45"/>
    <mergeCell ref="J7:J9"/>
    <mergeCell ref="K7:K9"/>
    <mergeCell ref="L7:L9"/>
    <mergeCell ref="A37:N37"/>
    <mergeCell ref="M7:M9"/>
    <mergeCell ref="N7:O7"/>
    <mergeCell ref="A42:M42"/>
    <mergeCell ref="A43:M43"/>
    <mergeCell ref="A39:P39"/>
    <mergeCell ref="A1:P1"/>
    <mergeCell ref="A2:P2"/>
    <mergeCell ref="A3:M3"/>
    <mergeCell ref="A4:P4"/>
    <mergeCell ref="A7:A9"/>
    <mergeCell ref="B7:B9"/>
    <mergeCell ref="C7:C9"/>
    <mergeCell ref="D7:D9"/>
    <mergeCell ref="E7:E9"/>
    <mergeCell ref="F7:F9"/>
    <mergeCell ref="G7:G9"/>
    <mergeCell ref="H7:H9"/>
    <mergeCell ref="I7:I9"/>
    <mergeCell ref="P7:P9"/>
    <mergeCell ref="N8:N9"/>
    <mergeCell ref="O8:O9"/>
  </mergeCells>
  <phoneticPr fontId="98" type="noConversion"/>
  <pageMargins left="0" right="0" top="0.74803149606299213" bottom="0.74803149606299213" header="0.31496062992125984" footer="0.31496062992125984"/>
  <pageSetup paperSize="8"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sheetPr>
  <dimension ref="B1:AF267"/>
  <sheetViews>
    <sheetView topLeftCell="A147" workbookViewId="0">
      <selection activeCell="S158" sqref="S158"/>
    </sheetView>
  </sheetViews>
  <sheetFormatPr defaultColWidth="9.140625" defaultRowHeight="15" x14ac:dyDescent="0.25"/>
  <cols>
    <col min="1" max="1" width="11.140625" customWidth="1"/>
    <col min="2" max="2" width="11.7109375" style="451" customWidth="1"/>
    <col min="3" max="3" width="55.28515625" style="59" customWidth="1"/>
    <col min="4" max="4" width="19.7109375" style="60" hidden="1" customWidth="1"/>
    <col min="5" max="5" width="20.140625" style="453" hidden="1" customWidth="1"/>
    <col min="6" max="7" width="20.140625" style="60" hidden="1" customWidth="1"/>
    <col min="8" max="8" width="17.85546875" style="60" customWidth="1"/>
    <col min="9" max="9" width="19" hidden="1" customWidth="1"/>
    <col min="10" max="10" width="32.7109375" hidden="1" customWidth="1"/>
    <col min="11" max="11" width="15.5703125" hidden="1" customWidth="1"/>
    <col min="12" max="13" width="9.140625" hidden="1" customWidth="1"/>
    <col min="14" max="14" width="10.28515625" bestFit="1" customWidth="1"/>
    <col min="15" max="15" width="9.140625" customWidth="1"/>
    <col min="16" max="17" width="17.85546875" style="60" customWidth="1"/>
    <col min="18" max="18" width="17.85546875" style="60" hidden="1" customWidth="1"/>
    <col min="19" max="19" width="45.140625" bestFit="1" customWidth="1"/>
    <col min="20" max="20" width="20.42578125" customWidth="1"/>
    <col min="21" max="21" width="11.85546875" style="164" bestFit="1" customWidth="1"/>
  </cols>
  <sheetData>
    <row r="1" spans="2:32" ht="75" x14ac:dyDescent="0.25">
      <c r="B1" s="153"/>
      <c r="C1" s="3" t="s">
        <v>1</v>
      </c>
      <c r="D1" s="4" t="s">
        <v>675</v>
      </c>
      <c r="E1" s="154" t="s">
        <v>2</v>
      </c>
      <c r="F1" s="155" t="s">
        <v>676</v>
      </c>
      <c r="G1" s="156" t="s">
        <v>677</v>
      </c>
      <c r="H1" s="4" t="s">
        <v>678</v>
      </c>
      <c r="I1" s="157" t="s">
        <v>679</v>
      </c>
      <c r="J1" s="157" t="s">
        <v>680</v>
      </c>
      <c r="K1" s="157" t="s">
        <v>681</v>
      </c>
      <c r="P1" s="4" t="s">
        <v>682</v>
      </c>
      <c r="Q1" s="4" t="s">
        <v>683</v>
      </c>
      <c r="R1" s="158"/>
      <c r="S1" s="159" t="s">
        <v>684</v>
      </c>
      <c r="T1" s="159" t="s">
        <v>685</v>
      </c>
      <c r="U1" s="160" t="s">
        <v>686</v>
      </c>
    </row>
    <row r="2" spans="2:32" s="458" customFormat="1" ht="21.95" hidden="1" customHeight="1" x14ac:dyDescent="0.25">
      <c r="B2" s="456"/>
      <c r="C2" s="457" t="s">
        <v>3</v>
      </c>
      <c r="D2" s="7"/>
      <c r="E2" s="162"/>
      <c r="F2" s="7"/>
      <c r="G2" s="7"/>
      <c r="H2" s="7"/>
      <c r="P2" s="7"/>
      <c r="Q2" s="7"/>
      <c r="R2" s="163"/>
      <c r="U2" s="459"/>
    </row>
    <row r="3" spans="2:32" s="170" customFormat="1" ht="21.95" hidden="1" customHeight="1" x14ac:dyDescent="0.25">
      <c r="B3" s="460">
        <v>1</v>
      </c>
      <c r="C3" s="461" t="s">
        <v>4</v>
      </c>
      <c r="D3" s="462">
        <v>7205827.7999999998</v>
      </c>
      <c r="E3" s="463">
        <f>E4+E36-1</f>
        <v>5095752</v>
      </c>
      <c r="F3" s="462">
        <f t="shared" ref="F3" si="0">F4+F36</f>
        <v>6979982.3100000005</v>
      </c>
      <c r="G3" s="462">
        <f>F3-E3</f>
        <v>1884230.3100000005</v>
      </c>
      <c r="H3" s="462">
        <f>H4+H36+H38</f>
        <v>8563754.5632876717</v>
      </c>
      <c r="I3" s="169">
        <v>867383.24</v>
      </c>
      <c r="P3" s="462">
        <f>P4+P36+P38</f>
        <v>9386500</v>
      </c>
      <c r="Q3" s="462">
        <f>Q4+Q36+Q38</f>
        <v>10986500</v>
      </c>
      <c r="R3" s="464"/>
      <c r="U3" s="172"/>
    </row>
    <row r="4" spans="2:32" s="170" customFormat="1" ht="21.95" hidden="1" customHeight="1" x14ac:dyDescent="0.25">
      <c r="B4" s="460">
        <f>B3+1</f>
        <v>2</v>
      </c>
      <c r="C4" s="465" t="s">
        <v>5</v>
      </c>
      <c r="D4" s="466">
        <v>5405827.7999999998</v>
      </c>
      <c r="E4" s="467">
        <f>E9+E22+E25+E29+SUM(E30+E31+E32+E33+E34+E35)</f>
        <v>3895753</v>
      </c>
      <c r="F4" s="466">
        <f>F9+F22+F25+F29+SUM(F30+F31+F32+F33+F34+F35)</f>
        <v>5429982.3100000005</v>
      </c>
      <c r="G4" s="466">
        <f>F4-E4</f>
        <v>1534229.3100000005</v>
      </c>
      <c r="H4" s="466">
        <f>'[1]previsioni ricavi 22-23-24'!E25</f>
        <v>6152487.4400000004</v>
      </c>
      <c r="I4" s="19" t="s">
        <v>95</v>
      </c>
      <c r="J4" s="176"/>
      <c r="K4" s="176"/>
      <c r="L4" s="176"/>
      <c r="M4" s="176"/>
      <c r="N4" s="176"/>
      <c r="O4" s="176"/>
      <c r="P4" s="466">
        <f>'[1]previsioni ricavi 22-23-24'!I25</f>
        <v>6900000</v>
      </c>
      <c r="Q4" s="466">
        <f>'[1]previsioni ricavi 22-23-24'!J25</f>
        <v>8500000</v>
      </c>
      <c r="R4" s="468"/>
      <c r="S4" s="176"/>
      <c r="T4" s="176"/>
      <c r="U4" s="178"/>
      <c r="V4" s="179"/>
      <c r="W4" s="179"/>
      <c r="X4" s="179"/>
      <c r="Y4" s="179"/>
      <c r="Z4" s="179"/>
      <c r="AA4" s="179"/>
      <c r="AB4" s="179"/>
      <c r="AC4" s="179"/>
      <c r="AD4" s="179"/>
      <c r="AE4" s="179"/>
      <c r="AF4" s="179"/>
    </row>
    <row r="5" spans="2:32" s="170" customFormat="1" ht="21.95" hidden="1" customHeight="1" x14ac:dyDescent="0.25">
      <c r="B5" s="460">
        <f t="shared" ref="B5:B68" si="1">B4+1</f>
        <v>3</v>
      </c>
      <c r="C5" s="36" t="s">
        <v>6</v>
      </c>
      <c r="D5" s="180"/>
      <c r="E5" s="181">
        <v>289401</v>
      </c>
      <c r="F5" s="180">
        <v>272479.46999999997</v>
      </c>
      <c r="G5" s="180">
        <f>F5-E5</f>
        <v>-16921.530000000028</v>
      </c>
      <c r="H5" s="180"/>
      <c r="I5" s="19" t="s">
        <v>95</v>
      </c>
      <c r="P5" s="180"/>
      <c r="Q5" s="180"/>
      <c r="R5" s="182"/>
      <c r="U5" s="172"/>
    </row>
    <row r="6" spans="2:32" s="170" customFormat="1" ht="21.95" hidden="1" customHeight="1" x14ac:dyDescent="0.25">
      <c r="B6" s="460">
        <f t="shared" si="1"/>
        <v>4</v>
      </c>
      <c r="C6" s="36" t="s">
        <v>7</v>
      </c>
      <c r="D6" s="180"/>
      <c r="E6" s="181">
        <v>73250</v>
      </c>
      <c r="F6" s="180">
        <v>77354.62</v>
      </c>
      <c r="G6" s="180">
        <f t="shared" ref="G6:G35" si="2">F6-E6</f>
        <v>4104.6199999999953</v>
      </c>
      <c r="H6" s="180"/>
      <c r="I6" s="19" t="s">
        <v>95</v>
      </c>
      <c r="P6" s="180"/>
      <c r="Q6" s="180"/>
      <c r="R6" s="182"/>
      <c r="U6" s="172"/>
    </row>
    <row r="7" spans="2:32" s="170" customFormat="1" ht="21.95" hidden="1" customHeight="1" x14ac:dyDescent="0.25">
      <c r="B7" s="460">
        <f t="shared" si="1"/>
        <v>5</v>
      </c>
      <c r="C7" s="36" t="s">
        <v>8</v>
      </c>
      <c r="D7" s="180"/>
      <c r="E7" s="181">
        <v>28283</v>
      </c>
      <c r="F7" s="180">
        <v>32782.720000000001</v>
      </c>
      <c r="G7" s="180">
        <f t="shared" si="2"/>
        <v>4499.7200000000012</v>
      </c>
      <c r="H7" s="180"/>
      <c r="I7" s="19" t="s">
        <v>95</v>
      </c>
      <c r="P7" s="180"/>
      <c r="Q7" s="180"/>
      <c r="R7" s="182"/>
      <c r="U7" s="172"/>
    </row>
    <row r="8" spans="2:32" s="170" customFormat="1" ht="21.95" hidden="1" customHeight="1" x14ac:dyDescent="0.25">
      <c r="B8" s="460">
        <f t="shared" si="1"/>
        <v>6</v>
      </c>
      <c r="C8" s="36" t="s">
        <v>9</v>
      </c>
      <c r="D8" s="180"/>
      <c r="E8" s="181">
        <v>15508</v>
      </c>
      <c r="F8" s="180">
        <v>0</v>
      </c>
      <c r="G8" s="180">
        <f t="shared" si="2"/>
        <v>-15508</v>
      </c>
      <c r="H8" s="180"/>
      <c r="I8" s="19" t="s">
        <v>95</v>
      </c>
      <c r="P8" s="180"/>
      <c r="Q8" s="180"/>
      <c r="R8" s="182"/>
      <c r="U8" s="172"/>
    </row>
    <row r="9" spans="2:32" s="170" customFormat="1" ht="21.95" hidden="1" customHeight="1" x14ac:dyDescent="0.25">
      <c r="B9" s="460">
        <f t="shared" si="1"/>
        <v>7</v>
      </c>
      <c r="C9" s="469" t="s">
        <v>10</v>
      </c>
      <c r="D9" s="470">
        <v>0</v>
      </c>
      <c r="E9" s="471">
        <f>SUM(E5:E8)-1</f>
        <v>406441</v>
      </c>
      <c r="F9" s="470">
        <f t="shared" ref="F9" si="3">SUM(F5:F8)</f>
        <v>382616.80999999994</v>
      </c>
      <c r="G9" s="180">
        <f t="shared" si="2"/>
        <v>-23824.190000000061</v>
      </c>
      <c r="H9" s="470">
        <f>SUM(H5:H8)</f>
        <v>0</v>
      </c>
      <c r="I9" s="19" t="s">
        <v>95</v>
      </c>
      <c r="P9" s="470">
        <f>SUM(P5:P8)</f>
        <v>0</v>
      </c>
      <c r="Q9" s="470">
        <f>SUM(Q5:Q8)</f>
        <v>0</v>
      </c>
      <c r="R9" s="472"/>
      <c r="U9" s="172"/>
    </row>
    <row r="10" spans="2:32" s="170" customFormat="1" ht="21.95" hidden="1" customHeight="1" x14ac:dyDescent="0.25">
      <c r="B10" s="460">
        <f t="shared" si="1"/>
        <v>8</v>
      </c>
      <c r="C10" s="36" t="s">
        <v>11</v>
      </c>
      <c r="D10" s="180"/>
      <c r="E10" s="181">
        <v>340362</v>
      </c>
      <c r="F10" s="180">
        <v>503946.08</v>
      </c>
      <c r="G10" s="180">
        <f t="shared" si="2"/>
        <v>163584.08000000002</v>
      </c>
      <c r="H10" s="180"/>
      <c r="I10" s="19" t="s">
        <v>95</v>
      </c>
      <c r="P10" s="180"/>
      <c r="Q10" s="180"/>
      <c r="R10" s="182"/>
      <c r="U10" s="172"/>
    </row>
    <row r="11" spans="2:32" s="170" customFormat="1" ht="21.95" hidden="1" customHeight="1" x14ac:dyDescent="0.25">
      <c r="B11" s="460">
        <f t="shared" si="1"/>
        <v>9</v>
      </c>
      <c r="C11" s="36" t="s">
        <v>12</v>
      </c>
      <c r="D11" s="180"/>
      <c r="E11" s="181">
        <v>474279</v>
      </c>
      <c r="F11" s="180">
        <v>745479.62</v>
      </c>
      <c r="G11" s="180">
        <f t="shared" si="2"/>
        <v>271200.62</v>
      </c>
      <c r="H11" s="180"/>
      <c r="I11" s="19" t="s">
        <v>95</v>
      </c>
      <c r="P11" s="180"/>
      <c r="Q11" s="180"/>
      <c r="R11" s="182"/>
      <c r="U11" s="172"/>
    </row>
    <row r="12" spans="2:32" s="170" customFormat="1" ht="21.95" hidden="1" customHeight="1" x14ac:dyDescent="0.25">
      <c r="B12" s="460">
        <f>B11+1</f>
        <v>10</v>
      </c>
      <c r="C12" s="36" t="s">
        <v>13</v>
      </c>
      <c r="D12" s="180"/>
      <c r="E12" s="181">
        <v>159069</v>
      </c>
      <c r="F12" s="180">
        <v>243440.14</v>
      </c>
      <c r="G12" s="180">
        <f t="shared" si="2"/>
        <v>84371.140000000014</v>
      </c>
      <c r="H12" s="180"/>
      <c r="I12" s="19" t="s">
        <v>95</v>
      </c>
      <c r="P12" s="180"/>
      <c r="Q12" s="180"/>
      <c r="R12" s="182"/>
      <c r="U12" s="172"/>
    </row>
    <row r="13" spans="2:32" s="170" customFormat="1" ht="21.95" hidden="1" customHeight="1" x14ac:dyDescent="0.25">
      <c r="B13" s="460">
        <f t="shared" si="1"/>
        <v>11</v>
      </c>
      <c r="C13" s="36" t="s">
        <v>14</v>
      </c>
      <c r="D13" s="28"/>
      <c r="E13" s="188">
        <v>445345</v>
      </c>
      <c r="F13" s="28">
        <v>580199.37</v>
      </c>
      <c r="G13" s="180">
        <f t="shared" si="2"/>
        <v>134854.37</v>
      </c>
      <c r="H13" s="28"/>
      <c r="I13" s="19" t="s">
        <v>95</v>
      </c>
      <c r="P13" s="28"/>
      <c r="Q13" s="28"/>
      <c r="R13" s="189"/>
      <c r="U13" s="172"/>
    </row>
    <row r="14" spans="2:32" s="170" customFormat="1" ht="21.95" hidden="1" customHeight="1" x14ac:dyDescent="0.25">
      <c r="B14" s="460">
        <f t="shared" si="1"/>
        <v>12</v>
      </c>
      <c r="C14" s="36" t="s">
        <v>15</v>
      </c>
      <c r="D14" s="180"/>
      <c r="E14" s="181">
        <v>218871</v>
      </c>
      <c r="F14" s="180">
        <v>349942.89</v>
      </c>
      <c r="G14" s="180">
        <f t="shared" si="2"/>
        <v>131071.89000000001</v>
      </c>
      <c r="H14" s="180"/>
      <c r="I14" s="19" t="s">
        <v>95</v>
      </c>
      <c r="P14" s="180"/>
      <c r="Q14" s="180"/>
      <c r="R14" s="182"/>
      <c r="U14" s="172"/>
    </row>
    <row r="15" spans="2:32" s="170" customFormat="1" ht="21.95" hidden="1" customHeight="1" x14ac:dyDescent="0.25">
      <c r="B15" s="460">
        <f t="shared" si="1"/>
        <v>13</v>
      </c>
      <c r="C15" s="36" t="s">
        <v>16</v>
      </c>
      <c r="D15" s="180"/>
      <c r="E15" s="181">
        <v>316892</v>
      </c>
      <c r="F15" s="180">
        <v>590267.78</v>
      </c>
      <c r="G15" s="180">
        <f t="shared" si="2"/>
        <v>273375.78000000003</v>
      </c>
      <c r="H15" s="180"/>
      <c r="I15" s="19" t="s">
        <v>95</v>
      </c>
      <c r="P15" s="180"/>
      <c r="Q15" s="180"/>
      <c r="R15" s="182"/>
      <c r="U15" s="172"/>
    </row>
    <row r="16" spans="2:32" s="170" customFormat="1" ht="21.95" hidden="1" customHeight="1" x14ac:dyDescent="0.25">
      <c r="B16" s="460">
        <f t="shared" si="1"/>
        <v>14</v>
      </c>
      <c r="C16" s="36" t="s">
        <v>17</v>
      </c>
      <c r="D16" s="180"/>
      <c r="E16" s="181">
        <v>60683</v>
      </c>
      <c r="F16" s="180">
        <v>71524.95</v>
      </c>
      <c r="G16" s="180">
        <f t="shared" si="2"/>
        <v>10841.949999999997</v>
      </c>
      <c r="H16" s="180"/>
      <c r="I16" s="19" t="s">
        <v>95</v>
      </c>
      <c r="P16" s="180"/>
      <c r="Q16" s="180"/>
      <c r="R16" s="182"/>
      <c r="U16" s="172"/>
    </row>
    <row r="17" spans="2:21" s="170" customFormat="1" ht="21.95" hidden="1" customHeight="1" x14ac:dyDescent="0.25">
      <c r="B17" s="460">
        <f t="shared" si="1"/>
        <v>15</v>
      </c>
      <c r="C17" s="36" t="s">
        <v>18</v>
      </c>
      <c r="D17" s="180"/>
      <c r="E17" s="181">
        <v>31980</v>
      </c>
      <c r="F17" s="180">
        <v>32496.77</v>
      </c>
      <c r="G17" s="180">
        <f t="shared" si="2"/>
        <v>516.77000000000044</v>
      </c>
      <c r="H17" s="180"/>
      <c r="I17" s="19" t="s">
        <v>95</v>
      </c>
      <c r="P17" s="180"/>
      <c r="Q17" s="180"/>
      <c r="R17" s="182"/>
      <c r="U17" s="172"/>
    </row>
    <row r="18" spans="2:21" s="170" customFormat="1" ht="21.95" hidden="1" customHeight="1" x14ac:dyDescent="0.25">
      <c r="B18" s="460">
        <f t="shared" si="1"/>
        <v>16</v>
      </c>
      <c r="C18" s="36" t="s">
        <v>19</v>
      </c>
      <c r="D18" s="180"/>
      <c r="E18" s="181">
        <v>240015</v>
      </c>
      <c r="F18" s="180">
        <v>303706.28999999998</v>
      </c>
      <c r="G18" s="180">
        <f t="shared" si="2"/>
        <v>63691.289999999979</v>
      </c>
      <c r="H18" s="180"/>
      <c r="I18" s="19" t="s">
        <v>95</v>
      </c>
      <c r="P18" s="180"/>
      <c r="Q18" s="180"/>
      <c r="R18" s="182"/>
      <c r="U18" s="172"/>
    </row>
    <row r="19" spans="2:21" s="170" customFormat="1" ht="21.95" hidden="1" customHeight="1" x14ac:dyDescent="0.25">
      <c r="B19" s="460">
        <f t="shared" si="1"/>
        <v>17</v>
      </c>
      <c r="C19" s="36" t="s">
        <v>20</v>
      </c>
      <c r="D19" s="180"/>
      <c r="E19" s="181">
        <v>228163</v>
      </c>
      <c r="F19" s="180">
        <v>276267.7</v>
      </c>
      <c r="G19" s="180">
        <f t="shared" si="2"/>
        <v>48104.700000000012</v>
      </c>
      <c r="H19" s="180"/>
      <c r="I19" s="19" t="s">
        <v>95</v>
      </c>
      <c r="P19" s="180"/>
      <c r="Q19" s="180"/>
      <c r="R19" s="182"/>
      <c r="U19" s="172"/>
    </row>
    <row r="20" spans="2:21" s="170" customFormat="1" ht="21.95" hidden="1" customHeight="1" x14ac:dyDescent="0.25">
      <c r="B20" s="460">
        <f t="shared" si="1"/>
        <v>18</v>
      </c>
      <c r="C20" s="36" t="s">
        <v>21</v>
      </c>
      <c r="D20" s="180"/>
      <c r="E20" s="181">
        <v>114</v>
      </c>
      <c r="F20" s="180">
        <v>30290.98</v>
      </c>
      <c r="G20" s="180">
        <f t="shared" si="2"/>
        <v>30176.98</v>
      </c>
      <c r="H20" s="180"/>
      <c r="I20" s="19" t="s">
        <v>95</v>
      </c>
      <c r="P20" s="180"/>
      <c r="Q20" s="180"/>
      <c r="R20" s="182"/>
      <c r="U20" s="172"/>
    </row>
    <row r="21" spans="2:21" s="170" customFormat="1" ht="21.95" hidden="1" customHeight="1" x14ac:dyDescent="0.25">
      <c r="B21" s="460">
        <f t="shared" si="1"/>
        <v>19</v>
      </c>
      <c r="C21" s="36" t="s">
        <v>22</v>
      </c>
      <c r="D21" s="180"/>
      <c r="E21" s="181">
        <v>183</v>
      </c>
      <c r="F21" s="180">
        <v>31799.360000000001</v>
      </c>
      <c r="G21" s="180">
        <f t="shared" si="2"/>
        <v>31616.36</v>
      </c>
      <c r="H21" s="180"/>
      <c r="I21" s="19" t="s">
        <v>95</v>
      </c>
      <c r="P21" s="180"/>
      <c r="Q21" s="180"/>
      <c r="R21" s="182"/>
      <c r="U21" s="172"/>
    </row>
    <row r="22" spans="2:21" s="170" customFormat="1" ht="21.95" hidden="1" customHeight="1" x14ac:dyDescent="0.25">
      <c r="B22" s="460">
        <f t="shared" si="1"/>
        <v>20</v>
      </c>
      <c r="C22" s="469" t="s">
        <v>23</v>
      </c>
      <c r="D22" s="470">
        <v>0</v>
      </c>
      <c r="E22" s="471">
        <f>SUM(E10:E21)+2</f>
        <v>2515958</v>
      </c>
      <c r="F22" s="470">
        <f t="shared" ref="F22:H22" si="4">SUM(F10:F21)</f>
        <v>3759361.93</v>
      </c>
      <c r="G22" s="180">
        <f t="shared" si="2"/>
        <v>1243403.9300000002</v>
      </c>
      <c r="H22" s="470">
        <f t="shared" si="4"/>
        <v>0</v>
      </c>
      <c r="I22" s="19" t="s">
        <v>95</v>
      </c>
      <c r="P22" s="470">
        <f t="shared" ref="P22:Q22" si="5">SUM(P10:P21)</f>
        <v>0</v>
      </c>
      <c r="Q22" s="470">
        <f t="shared" si="5"/>
        <v>0</v>
      </c>
      <c r="R22" s="472"/>
      <c r="U22" s="172"/>
    </row>
    <row r="23" spans="2:21" s="170" customFormat="1" ht="21.95" hidden="1" customHeight="1" x14ac:dyDescent="0.25">
      <c r="B23" s="460">
        <f t="shared" si="1"/>
        <v>21</v>
      </c>
      <c r="C23" s="36" t="s">
        <v>24</v>
      </c>
      <c r="D23" s="180"/>
      <c r="E23" s="181">
        <v>12351</v>
      </c>
      <c r="F23" s="180">
        <v>15570.77</v>
      </c>
      <c r="G23" s="180">
        <f t="shared" si="2"/>
        <v>3219.7700000000004</v>
      </c>
      <c r="H23" s="180"/>
      <c r="I23" s="19" t="s">
        <v>95</v>
      </c>
      <c r="P23" s="180"/>
      <c r="Q23" s="180"/>
      <c r="R23" s="182"/>
      <c r="U23" s="172"/>
    </row>
    <row r="24" spans="2:21" s="170" customFormat="1" ht="21.95" hidden="1" customHeight="1" x14ac:dyDescent="0.25">
      <c r="B24" s="460">
        <f t="shared" si="1"/>
        <v>22</v>
      </c>
      <c r="C24" s="36" t="s">
        <v>25</v>
      </c>
      <c r="D24" s="180"/>
      <c r="E24" s="181">
        <v>549974</v>
      </c>
      <c r="F24" s="180">
        <v>747081.28</v>
      </c>
      <c r="G24" s="180">
        <f t="shared" si="2"/>
        <v>197107.28000000003</v>
      </c>
      <c r="H24" s="180"/>
      <c r="I24" s="19" t="s">
        <v>95</v>
      </c>
      <c r="P24" s="180"/>
      <c r="Q24" s="180"/>
      <c r="R24" s="182"/>
      <c r="U24" s="172"/>
    </row>
    <row r="25" spans="2:21" s="170" customFormat="1" ht="21.95" hidden="1" customHeight="1" x14ac:dyDescent="0.25">
      <c r="B25" s="460">
        <f t="shared" si="1"/>
        <v>23</v>
      </c>
      <c r="C25" s="469" t="s">
        <v>26</v>
      </c>
      <c r="D25" s="470">
        <v>0</v>
      </c>
      <c r="E25" s="471">
        <f t="shared" ref="E25:H25" si="6">SUM(E23:E24)</f>
        <v>562325</v>
      </c>
      <c r="F25" s="470">
        <f t="shared" si="6"/>
        <v>762652.05</v>
      </c>
      <c r="G25" s="180">
        <f t="shared" si="2"/>
        <v>200327.05000000005</v>
      </c>
      <c r="H25" s="471">
        <f t="shared" si="6"/>
        <v>0</v>
      </c>
      <c r="I25" s="19" t="s">
        <v>95</v>
      </c>
      <c r="P25" s="471">
        <f t="shared" ref="P25:Q25" si="7">SUM(P23:P24)</f>
        <v>0</v>
      </c>
      <c r="Q25" s="471">
        <f t="shared" si="7"/>
        <v>0</v>
      </c>
      <c r="R25" s="473"/>
      <c r="U25" s="172"/>
    </row>
    <row r="26" spans="2:21" s="170" customFormat="1" ht="21.95" hidden="1" customHeight="1" x14ac:dyDescent="0.25">
      <c r="B26" s="460">
        <f t="shared" si="1"/>
        <v>24</v>
      </c>
      <c r="C26" s="36" t="s">
        <v>27</v>
      </c>
      <c r="D26" s="28">
        <v>0</v>
      </c>
      <c r="E26" s="188">
        <v>65575</v>
      </c>
      <c r="F26" s="28">
        <v>0</v>
      </c>
      <c r="G26" s="180">
        <f t="shared" si="2"/>
        <v>-65575</v>
      </c>
      <c r="H26" s="28"/>
      <c r="I26" s="19" t="s">
        <v>95</v>
      </c>
      <c r="P26" s="28"/>
      <c r="Q26" s="28"/>
      <c r="R26" s="189"/>
      <c r="U26" s="172"/>
    </row>
    <row r="27" spans="2:21" s="170" customFormat="1" ht="21.95" hidden="1" customHeight="1" x14ac:dyDescent="0.25">
      <c r="B27" s="460">
        <f t="shared" si="1"/>
        <v>25</v>
      </c>
      <c r="C27" s="36" t="s">
        <v>28</v>
      </c>
      <c r="D27" s="28">
        <v>0</v>
      </c>
      <c r="E27" s="188">
        <v>26240</v>
      </c>
      <c r="F27" s="28">
        <v>0</v>
      </c>
      <c r="G27" s="180">
        <f t="shared" si="2"/>
        <v>-26240</v>
      </c>
      <c r="H27" s="28"/>
      <c r="I27" s="19" t="s">
        <v>95</v>
      </c>
      <c r="P27" s="28"/>
      <c r="Q27" s="28"/>
      <c r="R27" s="189"/>
      <c r="U27" s="172"/>
    </row>
    <row r="28" spans="2:21" s="170" customFormat="1" ht="21.95" hidden="1" customHeight="1" x14ac:dyDescent="0.25">
      <c r="B28" s="460">
        <f t="shared" si="1"/>
        <v>26</v>
      </c>
      <c r="C28" s="36" t="s">
        <v>29</v>
      </c>
      <c r="D28" s="180"/>
      <c r="E28" s="181">
        <v>20996</v>
      </c>
      <c r="F28" s="180">
        <v>73081.87</v>
      </c>
      <c r="G28" s="180">
        <f t="shared" si="2"/>
        <v>52085.869999999995</v>
      </c>
      <c r="H28" s="180"/>
      <c r="I28" s="19" t="s">
        <v>95</v>
      </c>
      <c r="P28" s="180"/>
      <c r="Q28" s="180"/>
      <c r="R28" s="182"/>
      <c r="U28" s="172"/>
    </row>
    <row r="29" spans="2:21" s="170" customFormat="1" ht="21.95" hidden="1" customHeight="1" x14ac:dyDescent="0.25">
      <c r="B29" s="460">
        <f t="shared" si="1"/>
        <v>27</v>
      </c>
      <c r="C29" s="469" t="s">
        <v>30</v>
      </c>
      <c r="D29" s="470">
        <v>0</v>
      </c>
      <c r="E29" s="471">
        <f>SUM(E26:E28)+1</f>
        <v>112812</v>
      </c>
      <c r="F29" s="470">
        <f t="shared" ref="F29:H29" si="8">SUM(F26:F28)</f>
        <v>73081.87</v>
      </c>
      <c r="G29" s="180">
        <f t="shared" si="2"/>
        <v>-39730.130000000005</v>
      </c>
      <c r="H29" s="471">
        <f t="shared" si="8"/>
        <v>0</v>
      </c>
      <c r="I29" s="19" t="s">
        <v>95</v>
      </c>
      <c r="P29" s="471">
        <f t="shared" ref="P29:Q29" si="9">SUM(P26:P28)</f>
        <v>0</v>
      </c>
      <c r="Q29" s="471">
        <f t="shared" si="9"/>
        <v>0</v>
      </c>
      <c r="R29" s="473"/>
      <c r="U29" s="172"/>
    </row>
    <row r="30" spans="2:21" s="170" customFormat="1" ht="21.95" hidden="1" customHeight="1" x14ac:dyDescent="0.25">
      <c r="B30" s="460">
        <f t="shared" si="1"/>
        <v>28</v>
      </c>
      <c r="C30" s="36" t="s">
        <v>31</v>
      </c>
      <c r="D30" s="180"/>
      <c r="E30" s="181">
        <v>21011</v>
      </c>
      <c r="F30" s="180">
        <v>33347.15</v>
      </c>
      <c r="G30" s="180">
        <f t="shared" si="2"/>
        <v>12336.150000000001</v>
      </c>
      <c r="H30" s="180"/>
      <c r="I30" s="19" t="s">
        <v>95</v>
      </c>
      <c r="P30" s="180"/>
      <c r="Q30" s="180"/>
      <c r="R30" s="182"/>
      <c r="U30" s="172"/>
    </row>
    <row r="31" spans="2:21" s="170" customFormat="1" ht="21.95" hidden="1" customHeight="1" x14ac:dyDescent="0.25">
      <c r="B31" s="460">
        <f t="shared" si="1"/>
        <v>29</v>
      </c>
      <c r="C31" s="36" t="s">
        <v>32</v>
      </c>
      <c r="D31" s="180"/>
      <c r="E31" s="181">
        <v>4820</v>
      </c>
      <c r="F31" s="180">
        <v>10655.7</v>
      </c>
      <c r="G31" s="180">
        <f t="shared" si="2"/>
        <v>5835.7000000000007</v>
      </c>
      <c r="H31" s="180"/>
      <c r="I31" s="19" t="s">
        <v>95</v>
      </c>
      <c r="P31" s="180"/>
      <c r="Q31" s="180"/>
      <c r="R31" s="182"/>
      <c r="U31" s="172"/>
    </row>
    <row r="32" spans="2:21" s="170" customFormat="1" ht="21.95" hidden="1" customHeight="1" x14ac:dyDescent="0.25">
      <c r="B32" s="460">
        <f t="shared" si="1"/>
        <v>30</v>
      </c>
      <c r="C32" s="36" t="s">
        <v>33</v>
      </c>
      <c r="D32" s="180"/>
      <c r="E32" s="181">
        <v>42</v>
      </c>
      <c r="F32" s="180">
        <v>369.67</v>
      </c>
      <c r="G32" s="180">
        <f t="shared" si="2"/>
        <v>327.67</v>
      </c>
      <c r="H32" s="180"/>
      <c r="I32" s="19" t="s">
        <v>95</v>
      </c>
      <c r="P32" s="180"/>
      <c r="Q32" s="180"/>
      <c r="R32" s="182"/>
      <c r="U32" s="172"/>
    </row>
    <row r="33" spans="2:32" s="170" customFormat="1" ht="21.95" hidden="1" customHeight="1" x14ac:dyDescent="0.25">
      <c r="B33" s="460">
        <f t="shared" si="1"/>
        <v>31</v>
      </c>
      <c r="C33" s="36" t="s">
        <v>34</v>
      </c>
      <c r="D33" s="180"/>
      <c r="E33" s="181">
        <v>14508</v>
      </c>
      <c r="F33" s="180">
        <v>13750.35</v>
      </c>
      <c r="G33" s="180">
        <f t="shared" si="2"/>
        <v>-757.64999999999964</v>
      </c>
      <c r="H33" s="180"/>
      <c r="I33" s="19" t="s">
        <v>95</v>
      </c>
      <c r="P33" s="180"/>
      <c r="Q33" s="180"/>
      <c r="R33" s="182"/>
      <c r="U33" s="172"/>
    </row>
    <row r="34" spans="2:32" s="170" customFormat="1" ht="21.95" hidden="1" customHeight="1" x14ac:dyDescent="0.25">
      <c r="B34" s="460">
        <f t="shared" si="1"/>
        <v>32</v>
      </c>
      <c r="C34" s="36" t="s">
        <v>35</v>
      </c>
      <c r="D34" s="180"/>
      <c r="E34" s="181">
        <v>163967</v>
      </c>
      <c r="F34" s="180">
        <v>194146.78</v>
      </c>
      <c r="G34" s="180">
        <f t="shared" si="2"/>
        <v>30179.78</v>
      </c>
      <c r="H34" s="180"/>
      <c r="I34" s="19" t="s">
        <v>95</v>
      </c>
      <c r="P34" s="180"/>
      <c r="Q34" s="180"/>
      <c r="R34" s="182"/>
      <c r="U34" s="172"/>
    </row>
    <row r="35" spans="2:32" s="170" customFormat="1" ht="21.95" hidden="1" customHeight="1" x14ac:dyDescent="0.25">
      <c r="B35" s="460">
        <f t="shared" si="1"/>
        <v>33</v>
      </c>
      <c r="C35" s="29" t="s">
        <v>36</v>
      </c>
      <c r="D35" s="28"/>
      <c r="E35" s="188">
        <v>93869</v>
      </c>
      <c r="F35" s="28">
        <v>200000</v>
      </c>
      <c r="G35" s="180">
        <f t="shared" si="2"/>
        <v>106131</v>
      </c>
      <c r="H35" s="28"/>
      <c r="I35" s="19" t="s">
        <v>95</v>
      </c>
      <c r="P35" s="28"/>
      <c r="Q35" s="28"/>
      <c r="R35" s="189"/>
      <c r="U35" s="172"/>
    </row>
    <row r="36" spans="2:32" s="170" customFormat="1" ht="21.95" hidden="1" customHeight="1" x14ac:dyDescent="0.25">
      <c r="B36" s="460">
        <f t="shared" si="1"/>
        <v>34</v>
      </c>
      <c r="C36" s="474" t="s">
        <v>37</v>
      </c>
      <c r="D36" s="475">
        <v>1800000</v>
      </c>
      <c r="E36" s="476">
        <f t="shared" ref="E36:H36" si="10">SUM(E37)</f>
        <v>1200000</v>
      </c>
      <c r="F36" s="475">
        <f t="shared" si="10"/>
        <v>1550000</v>
      </c>
      <c r="G36" s="475">
        <f>F36-E36</f>
        <v>350000</v>
      </c>
      <c r="H36" s="475">
        <f t="shared" si="10"/>
        <v>1800000</v>
      </c>
      <c r="I36" s="19" t="s">
        <v>95</v>
      </c>
      <c r="J36" s="179"/>
      <c r="K36" s="179"/>
      <c r="L36" s="179"/>
      <c r="M36" s="179"/>
      <c r="N36" s="179"/>
      <c r="O36" s="179"/>
      <c r="P36" s="475">
        <f t="shared" ref="P36:Q36" si="11">SUM(P37)</f>
        <v>1800000</v>
      </c>
      <c r="Q36" s="475">
        <f t="shared" si="11"/>
        <v>1800000</v>
      </c>
      <c r="R36" s="477"/>
      <c r="S36" s="179"/>
      <c r="T36" s="179"/>
      <c r="U36" s="195"/>
      <c r="V36" s="179"/>
      <c r="W36" s="179"/>
      <c r="X36" s="179"/>
      <c r="Y36" s="179"/>
      <c r="Z36" s="179"/>
      <c r="AA36" s="179"/>
      <c r="AB36" s="179"/>
      <c r="AC36" s="179"/>
      <c r="AD36" s="179"/>
      <c r="AE36" s="179"/>
      <c r="AF36" s="179"/>
    </row>
    <row r="37" spans="2:32" s="170" customFormat="1" ht="21.95" hidden="1" customHeight="1" x14ac:dyDescent="0.25">
      <c r="B37" s="460">
        <f t="shared" si="1"/>
        <v>35</v>
      </c>
      <c r="C37" s="196" t="s">
        <v>38</v>
      </c>
      <c r="D37" s="197"/>
      <c r="E37" s="198">
        <v>1200000</v>
      </c>
      <c r="F37" s="197">
        <v>1550000</v>
      </c>
      <c r="G37" s="197">
        <f>F37-E37</f>
        <v>350000</v>
      </c>
      <c r="H37" s="197">
        <v>1800000</v>
      </c>
      <c r="I37" s="19" t="s">
        <v>95</v>
      </c>
      <c r="P37" s="197">
        <v>1800000</v>
      </c>
      <c r="Q37" s="197">
        <v>1800000</v>
      </c>
      <c r="R37" s="199"/>
      <c r="U37" s="172"/>
    </row>
    <row r="38" spans="2:32" s="170" customFormat="1" ht="21.95" hidden="1" customHeight="1" x14ac:dyDescent="0.25">
      <c r="B38" s="460"/>
      <c r="C38" s="478" t="s">
        <v>687</v>
      </c>
      <c r="D38" s="479"/>
      <c r="E38" s="480"/>
      <c r="F38" s="479"/>
      <c r="G38" s="479"/>
      <c r="H38" s="479">
        <f>'[1]previsione SMS 22-23-24'!B43</f>
        <v>611267.12328767125</v>
      </c>
      <c r="I38" s="19" t="s">
        <v>95</v>
      </c>
      <c r="J38" s="479">
        <f>SUM(580000+90000)/12*11</f>
        <v>614166.66666666674</v>
      </c>
      <c r="P38" s="479">
        <f>'[1]previsione SMS 22-23-24'!E43</f>
        <v>686500</v>
      </c>
      <c r="Q38" s="479">
        <f>'[1]previsione SMS 22-23-24'!H43</f>
        <v>686500</v>
      </c>
      <c r="R38" s="481"/>
      <c r="U38" s="172"/>
    </row>
    <row r="39" spans="2:32" s="170" customFormat="1" ht="21.95" hidden="1" customHeight="1" x14ac:dyDescent="0.25">
      <c r="B39" s="460">
        <f>B37+1</f>
        <v>36</v>
      </c>
      <c r="C39" s="27" t="s">
        <v>39</v>
      </c>
      <c r="D39" s="180"/>
      <c r="E39" s="181"/>
      <c r="F39" s="180"/>
      <c r="G39" s="180"/>
      <c r="H39" s="180"/>
      <c r="I39" s="19" t="s">
        <v>95</v>
      </c>
      <c r="P39" s="180"/>
      <c r="Q39" s="180"/>
      <c r="R39" s="182"/>
      <c r="U39" s="172"/>
    </row>
    <row r="40" spans="2:32" s="170" customFormat="1" ht="21.95" hidden="1" customHeight="1" x14ac:dyDescent="0.25">
      <c r="B40" s="460">
        <f t="shared" si="1"/>
        <v>37</v>
      </c>
      <c r="C40" s="461" t="s">
        <v>39</v>
      </c>
      <c r="D40" s="462">
        <v>472881.23</v>
      </c>
      <c r="E40" s="463">
        <f>E41+E65</f>
        <v>552590</v>
      </c>
      <c r="F40" s="462">
        <f>F41+F65</f>
        <v>570263.77999999991</v>
      </c>
      <c r="G40" s="462">
        <f>F40-E40</f>
        <v>17673.779999999912</v>
      </c>
      <c r="H40" s="462">
        <f>H41+H65+H71</f>
        <v>126838.04999999999</v>
      </c>
      <c r="I40" s="19" t="s">
        <v>95</v>
      </c>
      <c r="P40" s="462">
        <f>P41+P65+P71</f>
        <v>250668.31999999998</v>
      </c>
      <c r="Q40" s="462">
        <f>Q41+Q65+Q71</f>
        <v>126834.15999999999</v>
      </c>
      <c r="R40" s="464"/>
      <c r="U40" s="172"/>
    </row>
    <row r="41" spans="2:32" s="170" customFormat="1" ht="21.95" hidden="1" customHeight="1" x14ac:dyDescent="0.25">
      <c r="B41" s="460">
        <f t="shared" si="1"/>
        <v>38</v>
      </c>
      <c r="C41" s="465" t="s">
        <v>40</v>
      </c>
      <c r="D41" s="465">
        <v>472539.56</v>
      </c>
      <c r="E41" s="482">
        <f>E42+E46</f>
        <v>547074</v>
      </c>
      <c r="F41" s="483">
        <f>F42+F46</f>
        <v>566774.1399999999</v>
      </c>
      <c r="G41" s="483">
        <f>F41-E41</f>
        <v>19700.139999999898</v>
      </c>
      <c r="H41" s="482">
        <f>H42+H46</f>
        <v>123837.73999999999</v>
      </c>
      <c r="I41" s="19" t="s">
        <v>95</v>
      </c>
      <c r="P41" s="482">
        <f>P42+P46</f>
        <v>247668.31999999998</v>
      </c>
      <c r="Q41" s="482">
        <f>Q42+Q46</f>
        <v>123834.15999999999</v>
      </c>
      <c r="R41" s="484"/>
      <c r="U41" s="172"/>
    </row>
    <row r="42" spans="2:32" s="170" customFormat="1" ht="21.95" hidden="1" customHeight="1" x14ac:dyDescent="0.25">
      <c r="B42" s="485"/>
      <c r="C42" s="486" t="s">
        <v>688</v>
      </c>
      <c r="D42" s="197"/>
      <c r="E42" s="411">
        <f>SUM(E43:E45)</f>
        <v>0</v>
      </c>
      <c r="F42" s="385">
        <f>SUM(F43:F45)</f>
        <v>264953</v>
      </c>
      <c r="G42" s="197">
        <f>F42-E42</f>
        <v>264953</v>
      </c>
      <c r="H42" s="215">
        <f>SUM(H43:H45)</f>
        <v>0</v>
      </c>
      <c r="I42" s="19" t="s">
        <v>95</v>
      </c>
      <c r="P42" s="215">
        <f>SUM(P43:P45)</f>
        <v>0</v>
      </c>
      <c r="Q42" s="215">
        <f>SUM(Q43:Q45)</f>
        <v>0</v>
      </c>
      <c r="R42" s="216"/>
      <c r="U42" s="172"/>
    </row>
    <row r="43" spans="2:32" s="170" customFormat="1" ht="21.95" hidden="1" customHeight="1" x14ac:dyDescent="0.25">
      <c r="B43" s="485">
        <f>B59+1</f>
        <v>52</v>
      </c>
      <c r="C43" s="196" t="s">
        <v>689</v>
      </c>
      <c r="D43" s="197">
        <v>179286</v>
      </c>
      <c r="E43" s="198"/>
      <c r="F43" s="197">
        <v>179286</v>
      </c>
      <c r="G43" s="197">
        <f t="shared" ref="G43:G45" si="12">F43-E43</f>
        <v>179286</v>
      </c>
      <c r="H43" s="217">
        <f>'[1]64,05,519 CONTR.FO.PERDUTO'!P1</f>
        <v>0</v>
      </c>
      <c r="I43" s="19" t="s">
        <v>95</v>
      </c>
      <c r="P43" s="217">
        <f>'[1]64,05,519 CONTR.FO.PERDUTO'!V1</f>
        <v>0</v>
      </c>
      <c r="Q43" s="217">
        <f>'[1]64,05,519 CONTR.FO.PERDUTO'!W1</f>
        <v>0</v>
      </c>
      <c r="R43" s="199"/>
      <c r="U43" s="172"/>
    </row>
    <row r="44" spans="2:32" s="170" customFormat="1" ht="21.95" hidden="1" customHeight="1" x14ac:dyDescent="0.25">
      <c r="B44" s="485"/>
      <c r="C44" s="196" t="s">
        <v>690</v>
      </c>
      <c r="D44" s="197"/>
      <c r="E44" s="198"/>
      <c r="F44" s="197">
        <v>5318</v>
      </c>
      <c r="G44" s="197">
        <f t="shared" si="12"/>
        <v>5318</v>
      </c>
      <c r="H44" s="217"/>
      <c r="I44" s="19" t="s">
        <v>95</v>
      </c>
      <c r="P44" s="217"/>
      <c r="Q44" s="217"/>
      <c r="R44" s="199"/>
      <c r="U44" s="172"/>
    </row>
    <row r="45" spans="2:32" s="170" customFormat="1" ht="21.95" hidden="1" customHeight="1" x14ac:dyDescent="0.25">
      <c r="B45" s="485"/>
      <c r="C45" s="196" t="s">
        <v>691</v>
      </c>
      <c r="D45" s="218"/>
      <c r="E45" s="198"/>
      <c r="F45" s="197">
        <v>80349</v>
      </c>
      <c r="G45" s="197">
        <f t="shared" si="12"/>
        <v>80349</v>
      </c>
      <c r="H45" s="219"/>
      <c r="I45" s="19" t="s">
        <v>95</v>
      </c>
      <c r="P45" s="219"/>
      <c r="Q45" s="219"/>
      <c r="R45" s="220"/>
      <c r="U45" s="172"/>
    </row>
    <row r="46" spans="2:32" s="170" customFormat="1" ht="21.95" hidden="1" customHeight="1" x14ac:dyDescent="0.25">
      <c r="B46" s="485"/>
      <c r="C46" s="486" t="s">
        <v>692</v>
      </c>
      <c r="D46" s="218"/>
      <c r="E46" s="411">
        <f>SUM(E47:E63)</f>
        <v>547074</v>
      </c>
      <c r="F46" s="385">
        <f>SUM(F47:F63)</f>
        <v>301821.13999999996</v>
      </c>
      <c r="G46" s="385">
        <f>F46-E46</f>
        <v>-245252.86000000004</v>
      </c>
      <c r="H46" s="487">
        <f>SUM(H47:M64)</f>
        <v>123837.73999999999</v>
      </c>
      <c r="I46" s="19" t="s">
        <v>95</v>
      </c>
      <c r="P46" s="487">
        <f>SUM(P47:W64)</f>
        <v>247668.31999999998</v>
      </c>
      <c r="Q46" s="487">
        <f>SUM(Q47:X64)</f>
        <v>123834.15999999999</v>
      </c>
      <c r="R46" s="488"/>
      <c r="U46" s="172"/>
    </row>
    <row r="47" spans="2:32" s="170" customFormat="1" ht="21.95" hidden="1" customHeight="1" x14ac:dyDescent="0.25">
      <c r="B47" s="460">
        <f>B41+1</f>
        <v>39</v>
      </c>
      <c r="C47" s="225" t="s">
        <v>693</v>
      </c>
      <c r="D47" s="197">
        <v>3</v>
      </c>
      <c r="E47" s="198">
        <v>2</v>
      </c>
      <c r="F47" s="197">
        <v>1.9</v>
      </c>
      <c r="G47" s="197">
        <f>F47-E47</f>
        <v>-0.10000000000000009</v>
      </c>
      <c r="H47" s="217">
        <f>'[1]64,05,100 ABBUONI E ARROTOND.IM'!P1</f>
        <v>3.58</v>
      </c>
      <c r="I47" s="19" t="s">
        <v>95</v>
      </c>
      <c r="P47" s="217">
        <f>'[1]64,05,100 ABBUONI E ARROTOND.IM'!V1</f>
        <v>0</v>
      </c>
      <c r="Q47" s="217">
        <f>'[1]64,05,100 ABBUONI E ARROTOND.IM'!W1</f>
        <v>0</v>
      </c>
      <c r="R47" s="199"/>
      <c r="U47" s="172"/>
    </row>
    <row r="48" spans="2:32" s="170" customFormat="1" ht="21.95" hidden="1" customHeight="1" x14ac:dyDescent="0.25">
      <c r="B48" s="485">
        <f t="shared" ref="B48:B59" si="13">B47+1</f>
        <v>40</v>
      </c>
      <c r="C48" s="196" t="s">
        <v>42</v>
      </c>
      <c r="D48" s="197">
        <v>30447.16</v>
      </c>
      <c r="E48" s="198">
        <v>13315</v>
      </c>
      <c r="F48" s="197">
        <v>28649.61</v>
      </c>
      <c r="G48" s="197">
        <f t="shared" ref="G48:G63" si="14">F48-E48</f>
        <v>15334.61</v>
      </c>
      <c r="H48" s="217">
        <f>'[1]64,05,501 prov.pubbl'!P1</f>
        <v>28649.61</v>
      </c>
      <c r="I48" s="19" t="s">
        <v>95</v>
      </c>
      <c r="P48" s="217">
        <f>H48</f>
        <v>28649.61</v>
      </c>
      <c r="Q48" s="217">
        <f>P48</f>
        <v>28649.61</v>
      </c>
      <c r="R48" s="199"/>
      <c r="U48" s="172"/>
    </row>
    <row r="49" spans="2:21" s="170" customFormat="1" ht="21.95" hidden="1" customHeight="1" x14ac:dyDescent="0.25">
      <c r="B49" s="485">
        <f t="shared" si="13"/>
        <v>41</v>
      </c>
      <c r="C49" s="196" t="s">
        <v>43</v>
      </c>
      <c r="D49" s="197">
        <v>9523</v>
      </c>
      <c r="E49" s="198">
        <v>22310</v>
      </c>
      <c r="F49" s="197">
        <v>24728.44</v>
      </c>
      <c r="G49" s="197">
        <f t="shared" si="14"/>
        <v>2418.4399999999987</v>
      </c>
      <c r="H49" s="217">
        <v>15000</v>
      </c>
      <c r="I49" s="19" t="s">
        <v>95</v>
      </c>
      <c r="P49" s="217">
        <v>15000</v>
      </c>
      <c r="Q49" s="217">
        <v>15000</v>
      </c>
      <c r="R49" s="199"/>
      <c r="U49" s="172"/>
    </row>
    <row r="50" spans="2:21" s="170" customFormat="1" ht="21.95" hidden="1" customHeight="1" x14ac:dyDescent="0.25">
      <c r="B50" s="485">
        <f t="shared" si="13"/>
        <v>42</v>
      </c>
      <c r="C50" s="196" t="s">
        <v>44</v>
      </c>
      <c r="D50" s="197">
        <v>24000</v>
      </c>
      <c r="E50" s="198">
        <v>24000</v>
      </c>
      <c r="F50" s="197">
        <v>24000</v>
      </c>
      <c r="G50" s="197">
        <f t="shared" si="14"/>
        <v>0</v>
      </c>
      <c r="H50" s="217">
        <f>'[1]64,05,503 proventi vari'!P1</f>
        <v>24000</v>
      </c>
      <c r="I50" s="19" t="s">
        <v>95</v>
      </c>
      <c r="P50" s="217">
        <f>H50</f>
        <v>24000</v>
      </c>
      <c r="Q50" s="217">
        <f>P50</f>
        <v>24000</v>
      </c>
      <c r="R50" s="199"/>
      <c r="U50" s="172"/>
    </row>
    <row r="51" spans="2:21" s="170" customFormat="1" ht="21.95" hidden="1" customHeight="1" x14ac:dyDescent="0.25">
      <c r="B51" s="485">
        <f t="shared" si="13"/>
        <v>43</v>
      </c>
      <c r="C51" s="196" t="s">
        <v>694</v>
      </c>
      <c r="D51" s="197">
        <v>28892</v>
      </c>
      <c r="E51" s="198"/>
      <c r="F51" s="197">
        <v>16832.150000000001</v>
      </c>
      <c r="G51" s="197">
        <f t="shared" si="14"/>
        <v>16832.150000000001</v>
      </c>
      <c r="H51" s="217">
        <v>13800</v>
      </c>
      <c r="I51" s="19" t="s">
        <v>95</v>
      </c>
      <c r="P51" s="217">
        <v>13800</v>
      </c>
      <c r="Q51" s="217">
        <v>13800</v>
      </c>
      <c r="R51" s="199"/>
      <c r="S51" s="170" t="s">
        <v>695</v>
      </c>
      <c r="U51" s="172"/>
    </row>
    <row r="52" spans="2:21" s="170" customFormat="1" ht="21.95" hidden="1" customHeight="1" x14ac:dyDescent="0.25">
      <c r="B52" s="485">
        <f t="shared" si="13"/>
        <v>44</v>
      </c>
      <c r="C52" s="196" t="s">
        <v>45</v>
      </c>
      <c r="D52" s="197">
        <v>9356</v>
      </c>
      <c r="E52" s="198">
        <v>1428</v>
      </c>
      <c r="F52" s="197">
        <v>9913.4</v>
      </c>
      <c r="G52" s="197">
        <f t="shared" si="14"/>
        <v>8485.4</v>
      </c>
      <c r="H52" s="217">
        <f>'[1]64,05,507 soprav.att.cau'!P1</f>
        <v>9913.4</v>
      </c>
      <c r="I52" s="19" t="s">
        <v>95</v>
      </c>
      <c r="P52" s="217">
        <v>9913.4</v>
      </c>
      <c r="Q52" s="217">
        <v>9913.4</v>
      </c>
      <c r="R52" s="199"/>
      <c r="U52" s="172"/>
    </row>
    <row r="53" spans="2:21" s="170" customFormat="1" ht="21.95" hidden="1" customHeight="1" x14ac:dyDescent="0.25">
      <c r="B53" s="485">
        <f t="shared" si="13"/>
        <v>45</v>
      </c>
      <c r="C53" s="196" t="s">
        <v>46</v>
      </c>
      <c r="D53" s="197">
        <v>1983</v>
      </c>
      <c r="E53" s="198">
        <v>1889</v>
      </c>
      <c r="F53" s="197">
        <v>2482.4</v>
      </c>
      <c r="G53" s="197">
        <f t="shared" si="14"/>
        <v>593.40000000000009</v>
      </c>
      <c r="H53" s="217">
        <f>'[1]64,05,508 soprav.att.parcometri'!P1</f>
        <v>2482.4</v>
      </c>
      <c r="I53" s="19" t="s">
        <v>95</v>
      </c>
      <c r="P53" s="217">
        <v>2482.4</v>
      </c>
      <c r="Q53" s="217">
        <v>2482.4</v>
      </c>
      <c r="R53" s="199"/>
      <c r="U53" s="172"/>
    </row>
    <row r="54" spans="2:21" s="170" customFormat="1" ht="21.95" hidden="1" customHeight="1" x14ac:dyDescent="0.25">
      <c r="B54" s="485">
        <f t="shared" si="13"/>
        <v>46</v>
      </c>
      <c r="C54" s="196" t="s">
        <v>696</v>
      </c>
      <c r="D54" s="197">
        <v>0</v>
      </c>
      <c r="E54" s="198">
        <v>0</v>
      </c>
      <c r="F54" s="197">
        <v>0</v>
      </c>
      <c r="G54" s="197">
        <f t="shared" si="14"/>
        <v>0</v>
      </c>
      <c r="H54" s="217">
        <v>0</v>
      </c>
      <c r="I54" s="19" t="s">
        <v>95</v>
      </c>
      <c r="P54" s="217">
        <v>0</v>
      </c>
      <c r="Q54" s="217">
        <v>0</v>
      </c>
      <c r="R54" s="199"/>
      <c r="U54" s="172"/>
    </row>
    <row r="55" spans="2:21" s="170" customFormat="1" ht="21.95" hidden="1" customHeight="1" x14ac:dyDescent="0.25">
      <c r="B55" s="485">
        <f t="shared" si="13"/>
        <v>47</v>
      </c>
      <c r="C55" s="196" t="s">
        <v>47</v>
      </c>
      <c r="D55" s="197">
        <v>150000</v>
      </c>
      <c r="E55" s="198">
        <v>250953</v>
      </c>
      <c r="F55" s="197">
        <v>150000</v>
      </c>
      <c r="G55" s="197">
        <f t="shared" si="14"/>
        <v>-100953</v>
      </c>
      <c r="H55" s="217">
        <f>'[1]64,05,510 sopr.att.fondo rischi'!P1</f>
        <v>0</v>
      </c>
      <c r="I55" s="19" t="s">
        <v>95</v>
      </c>
      <c r="P55" s="217">
        <f>'[1]64,05,510 sopr.att.fondo rischi'!V1</f>
        <v>0</v>
      </c>
      <c r="Q55" s="217">
        <f>'[1]64,05,510 sopr.att.fondo rischi'!W1</f>
        <v>0</v>
      </c>
      <c r="R55" s="199"/>
      <c r="U55" s="172"/>
    </row>
    <row r="56" spans="2:21" s="170" customFormat="1" ht="21.95" hidden="1" customHeight="1" x14ac:dyDescent="0.25">
      <c r="B56" s="485">
        <f t="shared" si="13"/>
        <v>48</v>
      </c>
      <c r="C56" s="196" t="s">
        <v>48</v>
      </c>
      <c r="D56" s="197">
        <v>16528.8</v>
      </c>
      <c r="E56" s="198">
        <v>18249</v>
      </c>
      <c r="F56" s="197">
        <v>35085.89</v>
      </c>
      <c r="G56" s="197">
        <f t="shared" si="14"/>
        <v>16836.89</v>
      </c>
      <c r="H56" s="217">
        <f>'[1]64,05,512 soprav.attive indeduc'!P1</f>
        <v>15000</v>
      </c>
      <c r="I56" s="19" t="s">
        <v>95</v>
      </c>
      <c r="P56" s="217">
        <v>15000</v>
      </c>
      <c r="Q56" s="217">
        <v>15000</v>
      </c>
      <c r="R56" s="199"/>
      <c r="U56" s="172"/>
    </row>
    <row r="57" spans="2:21" s="170" customFormat="1" ht="21.95" hidden="1" customHeight="1" x14ac:dyDescent="0.25">
      <c r="B57" s="485">
        <f t="shared" si="13"/>
        <v>49</v>
      </c>
      <c r="C57" s="196" t="s">
        <v>49</v>
      </c>
      <c r="D57" s="197">
        <v>0</v>
      </c>
      <c r="E57" s="198">
        <v>212640</v>
      </c>
      <c r="F57" s="197">
        <v>0</v>
      </c>
      <c r="G57" s="197">
        <f t="shared" si="14"/>
        <v>-212640</v>
      </c>
      <c r="H57" s="217" t="str">
        <f>'[1]6405514SOPRAV.ATT.STORN.P.F.M.'!P1</f>
        <v xml:space="preserve"> </v>
      </c>
      <c r="I57" s="19" t="s">
        <v>95</v>
      </c>
      <c r="P57" s="217">
        <f>'[1]6405514SOPRAV.ATT.STORN.P.F.M.'!V1</f>
        <v>0</v>
      </c>
      <c r="Q57" s="217">
        <f>'[1]6405514SOPRAV.ATT.STORN.P.F.M.'!W1</f>
        <v>0</v>
      </c>
      <c r="R57" s="199"/>
      <c r="U57" s="172"/>
    </row>
    <row r="58" spans="2:21" s="170" customFormat="1" ht="21.95" hidden="1" customHeight="1" x14ac:dyDescent="0.25">
      <c r="B58" s="485">
        <f t="shared" si="13"/>
        <v>50</v>
      </c>
      <c r="C58" s="196" t="s">
        <v>50</v>
      </c>
      <c r="D58" s="197">
        <v>14122</v>
      </c>
      <c r="E58" s="198">
        <v>2230</v>
      </c>
      <c r="F58" s="197">
        <v>0</v>
      </c>
      <c r="G58" s="197">
        <f t="shared" si="14"/>
        <v>-2230</v>
      </c>
      <c r="H58" s="217"/>
      <c r="I58" s="19" t="s">
        <v>95</v>
      </c>
      <c r="P58" s="217"/>
      <c r="Q58" s="217"/>
      <c r="R58" s="199"/>
      <c r="U58" s="172"/>
    </row>
    <row r="59" spans="2:21" s="170" customFormat="1" ht="21.95" hidden="1" customHeight="1" x14ac:dyDescent="0.25">
      <c r="B59" s="485">
        <f t="shared" si="13"/>
        <v>51</v>
      </c>
      <c r="C59" s="196" t="s">
        <v>51</v>
      </c>
      <c r="D59" s="197">
        <v>0</v>
      </c>
      <c r="E59" s="198">
        <v>58</v>
      </c>
      <c r="F59" s="197">
        <v>0</v>
      </c>
      <c r="G59" s="197">
        <f t="shared" si="14"/>
        <v>-58</v>
      </c>
      <c r="H59" s="217">
        <v>0</v>
      </c>
      <c r="I59" s="19" t="s">
        <v>95</v>
      </c>
      <c r="P59" s="217">
        <v>0</v>
      </c>
      <c r="Q59" s="217">
        <v>0</v>
      </c>
      <c r="R59" s="199"/>
      <c r="U59" s="172"/>
    </row>
    <row r="60" spans="2:21" s="170" customFormat="1" ht="21.95" hidden="1" customHeight="1" x14ac:dyDescent="0.25">
      <c r="B60" s="485">
        <f>B62+1</f>
        <v>54</v>
      </c>
      <c r="C60" s="196" t="s">
        <v>697</v>
      </c>
      <c r="D60" s="197">
        <v>0</v>
      </c>
      <c r="E60" s="198"/>
      <c r="F60" s="197">
        <v>0</v>
      </c>
      <c r="G60" s="197">
        <f t="shared" si="14"/>
        <v>0</v>
      </c>
      <c r="H60" s="217">
        <v>0</v>
      </c>
      <c r="I60" s="19" t="s">
        <v>95</v>
      </c>
      <c r="P60" s="217">
        <v>0</v>
      </c>
      <c r="Q60" s="217">
        <v>0</v>
      </c>
      <c r="R60" s="199"/>
      <c r="U60" s="172"/>
    </row>
    <row r="61" spans="2:21" s="170" customFormat="1" ht="21.95" hidden="1" customHeight="1" x14ac:dyDescent="0.25">
      <c r="B61" s="485">
        <f>B60+1</f>
        <v>55</v>
      </c>
      <c r="C61" s="196" t="s">
        <v>698</v>
      </c>
      <c r="D61" s="197">
        <v>7778.6</v>
      </c>
      <c r="E61" s="198"/>
      <c r="F61" s="197">
        <v>7778.6</v>
      </c>
      <c r="G61" s="197">
        <f t="shared" si="14"/>
        <v>7778.6</v>
      </c>
      <c r="H61" s="217">
        <v>7500</v>
      </c>
      <c r="I61" s="19" t="s">
        <v>95</v>
      </c>
      <c r="P61" s="217">
        <v>7500</v>
      </c>
      <c r="Q61" s="217">
        <v>7500</v>
      </c>
      <c r="R61" s="199"/>
      <c r="U61" s="172"/>
    </row>
    <row r="62" spans="2:21" s="170" customFormat="1" ht="21.95" hidden="1" customHeight="1" x14ac:dyDescent="0.25">
      <c r="B62" s="485">
        <f>B43+1</f>
        <v>53</v>
      </c>
      <c r="C62" s="196" t="s">
        <v>699</v>
      </c>
      <c r="D62" s="197">
        <v>620</v>
      </c>
      <c r="E62" s="198"/>
      <c r="F62" s="197">
        <v>760</v>
      </c>
      <c r="G62" s="197">
        <f t="shared" si="14"/>
        <v>760</v>
      </c>
      <c r="H62" s="217">
        <f>'[1]64,05,520 SOPRAV. ATT. FAGIOLON'!P1</f>
        <v>900</v>
      </c>
      <c r="I62" s="19" t="s">
        <v>95</v>
      </c>
      <c r="P62" s="217">
        <v>900</v>
      </c>
      <c r="Q62" s="217">
        <v>900</v>
      </c>
      <c r="R62" s="199"/>
      <c r="U62" s="172"/>
    </row>
    <row r="63" spans="2:21" s="170" customFormat="1" ht="21.95" hidden="1" customHeight="1" x14ac:dyDescent="0.25">
      <c r="B63" s="485"/>
      <c r="C63" s="196" t="s">
        <v>700</v>
      </c>
      <c r="D63" s="197"/>
      <c r="E63" s="198"/>
      <c r="F63" s="197">
        <v>1588.75</v>
      </c>
      <c r="G63" s="197">
        <f t="shared" si="14"/>
        <v>1588.75</v>
      </c>
      <c r="H63" s="197">
        <v>1588.75</v>
      </c>
      <c r="I63" s="19" t="s">
        <v>95</v>
      </c>
      <c r="P63" s="197">
        <v>1588.75</v>
      </c>
      <c r="Q63" s="197">
        <v>1588.75</v>
      </c>
      <c r="R63" s="199"/>
      <c r="U63" s="172"/>
    </row>
    <row r="64" spans="2:21" s="170" customFormat="1" ht="21.95" hidden="1" customHeight="1" x14ac:dyDescent="0.25">
      <c r="B64" s="485"/>
      <c r="C64" s="226" t="s">
        <v>701</v>
      </c>
      <c r="D64" s="218"/>
      <c r="E64" s="227"/>
      <c r="F64" s="218"/>
      <c r="G64" s="218"/>
      <c r="H64" s="228">
        <v>5000</v>
      </c>
      <c r="I64" s="19"/>
      <c r="P64" s="228">
        <v>5000</v>
      </c>
      <c r="Q64" s="228">
        <v>5000</v>
      </c>
      <c r="R64" s="229"/>
      <c r="U64" s="172"/>
    </row>
    <row r="65" spans="2:21" s="170" customFormat="1" ht="21.95" hidden="1" customHeight="1" x14ac:dyDescent="0.25">
      <c r="B65" s="485">
        <f>B61+1</f>
        <v>56</v>
      </c>
      <c r="C65" s="474" t="s">
        <v>52</v>
      </c>
      <c r="D65" s="475">
        <v>341.67</v>
      </c>
      <c r="E65" s="476">
        <f>SUM(E66:E69)</f>
        <v>5516</v>
      </c>
      <c r="F65" s="475">
        <f>SUM(F66:F69)</f>
        <v>3489.64</v>
      </c>
      <c r="G65" s="475">
        <f>F65-E65</f>
        <v>-2026.3600000000001</v>
      </c>
      <c r="H65" s="476">
        <f>SUM(H66:H70)</f>
        <v>3000.31</v>
      </c>
      <c r="I65" s="19" t="s">
        <v>95</v>
      </c>
      <c r="P65" s="476">
        <f>SUM(P66:P70)</f>
        <v>3000</v>
      </c>
      <c r="Q65" s="476">
        <f>SUM(Q66:Q70)</f>
        <v>3000</v>
      </c>
      <c r="R65" s="489"/>
      <c r="U65" s="172"/>
    </row>
    <row r="66" spans="2:21" s="170" customFormat="1" ht="21.95" hidden="1" customHeight="1" x14ac:dyDescent="0.25">
      <c r="B66" s="485">
        <f t="shared" si="1"/>
        <v>57</v>
      </c>
      <c r="C66" s="196" t="s">
        <v>53</v>
      </c>
      <c r="D66" s="197">
        <v>6.67</v>
      </c>
      <c r="E66" s="198">
        <v>3</v>
      </c>
      <c r="F66" s="197">
        <v>0.31</v>
      </c>
      <c r="G66" s="197">
        <f>F66-E66</f>
        <v>-2.69</v>
      </c>
      <c r="H66" s="217">
        <f>F66</f>
        <v>0.31</v>
      </c>
      <c r="I66" s="19" t="s">
        <v>95</v>
      </c>
      <c r="P66" s="217">
        <f>L66</f>
        <v>0</v>
      </c>
      <c r="Q66" s="217">
        <f>M66</f>
        <v>0</v>
      </c>
      <c r="R66" s="199"/>
      <c r="U66" s="172"/>
    </row>
    <row r="67" spans="2:21" s="170" customFormat="1" ht="21.95" hidden="1" customHeight="1" x14ac:dyDescent="0.25">
      <c r="B67" s="485">
        <f t="shared" si="1"/>
        <v>58</v>
      </c>
      <c r="C67" s="196" t="s">
        <v>702</v>
      </c>
      <c r="D67" s="197">
        <v>335</v>
      </c>
      <c r="E67" s="198">
        <v>4352</v>
      </c>
      <c r="F67" s="197">
        <v>0</v>
      </c>
      <c r="G67" s="197">
        <f t="shared" ref="G67:G69" si="15">F67-E67</f>
        <v>-4352</v>
      </c>
      <c r="H67" s="217"/>
      <c r="I67" s="19" t="s">
        <v>95</v>
      </c>
      <c r="P67" s="217"/>
      <c r="Q67" s="217"/>
      <c r="R67" s="199"/>
      <c r="U67" s="172"/>
    </row>
    <row r="68" spans="2:21" s="170" customFormat="1" ht="21.95" hidden="1" customHeight="1" x14ac:dyDescent="0.25">
      <c r="B68" s="485">
        <f t="shared" si="1"/>
        <v>59</v>
      </c>
      <c r="C68" s="196" t="s">
        <v>703</v>
      </c>
      <c r="D68" s="197">
        <v>0</v>
      </c>
      <c r="E68" s="198">
        <v>1161</v>
      </c>
      <c r="F68" s="197">
        <v>0</v>
      </c>
      <c r="G68" s="197">
        <f t="shared" si="15"/>
        <v>-1161</v>
      </c>
      <c r="H68" s="217">
        <v>0</v>
      </c>
      <c r="I68" s="19" t="s">
        <v>95</v>
      </c>
      <c r="P68" s="217">
        <v>0</v>
      </c>
      <c r="Q68" s="217">
        <v>0</v>
      </c>
      <c r="R68" s="199"/>
      <c r="U68" s="172"/>
    </row>
    <row r="69" spans="2:21" s="170" customFormat="1" ht="21.95" hidden="1" customHeight="1" x14ac:dyDescent="0.25">
      <c r="B69" s="485"/>
      <c r="C69" s="196" t="s">
        <v>704</v>
      </c>
      <c r="D69" s="197"/>
      <c r="E69" s="198"/>
      <c r="F69" s="197">
        <v>3489.33</v>
      </c>
      <c r="G69" s="197">
        <f t="shared" si="15"/>
        <v>3489.33</v>
      </c>
      <c r="H69" s="217"/>
      <c r="I69" s="19" t="s">
        <v>95</v>
      </c>
      <c r="P69" s="217"/>
      <c r="Q69" s="217"/>
      <c r="R69" s="199"/>
      <c r="U69" s="172"/>
    </row>
    <row r="70" spans="2:21" s="170" customFormat="1" ht="21.95" hidden="1" customHeight="1" x14ac:dyDescent="0.25">
      <c r="B70" s="485"/>
      <c r="C70" s="226" t="s">
        <v>705</v>
      </c>
      <c r="D70" s="218"/>
      <c r="E70" s="227"/>
      <c r="F70" s="218"/>
      <c r="G70" s="218"/>
      <c r="H70" s="228">
        <v>3000</v>
      </c>
      <c r="I70" s="19"/>
      <c r="P70" s="228">
        <v>3000</v>
      </c>
      <c r="Q70" s="228">
        <v>3000</v>
      </c>
      <c r="R70" s="229"/>
      <c r="U70" s="172"/>
    </row>
    <row r="71" spans="2:21" s="170" customFormat="1" ht="21.95" hidden="1" customHeight="1" x14ac:dyDescent="0.25">
      <c r="B71" s="485"/>
      <c r="C71" s="478" t="s">
        <v>706</v>
      </c>
      <c r="D71" s="479"/>
      <c r="E71" s="480"/>
      <c r="F71" s="479"/>
      <c r="G71" s="479"/>
      <c r="H71" s="479"/>
      <c r="I71" s="19" t="s">
        <v>95</v>
      </c>
      <c r="P71" s="479"/>
      <c r="Q71" s="479"/>
      <c r="R71" s="481"/>
      <c r="U71" s="172"/>
    </row>
    <row r="72" spans="2:21" s="458" customFormat="1" ht="21.95" hidden="1" customHeight="1" x14ac:dyDescent="0.25">
      <c r="B72" s="268">
        <f>B68+1</f>
        <v>60</v>
      </c>
      <c r="C72" s="20"/>
      <c r="D72" s="32"/>
      <c r="E72" s="232"/>
      <c r="F72" s="32"/>
      <c r="G72" s="32"/>
      <c r="H72" s="32"/>
      <c r="I72" s="19" t="s">
        <v>95</v>
      </c>
      <c r="P72" s="32"/>
      <c r="Q72" s="32"/>
      <c r="R72" s="107"/>
      <c r="U72" s="459"/>
    </row>
    <row r="73" spans="2:21" s="458" customFormat="1" ht="21.95" hidden="1" customHeight="1" x14ac:dyDescent="0.25">
      <c r="B73" s="268">
        <f t="shared" ref="B73:B90" si="16">B72+1</f>
        <v>61</v>
      </c>
      <c r="C73" s="8" t="s">
        <v>54</v>
      </c>
      <c r="D73" s="7">
        <v>472881.23</v>
      </c>
      <c r="E73" s="162">
        <f>E40</f>
        <v>552590</v>
      </c>
      <c r="F73" s="7">
        <f>F40</f>
        <v>570263.77999999991</v>
      </c>
      <c r="G73" s="7">
        <f>F73-E73</f>
        <v>17673.779999999912</v>
      </c>
      <c r="H73" s="7">
        <f>H40</f>
        <v>126838.04999999999</v>
      </c>
      <c r="I73" s="19" t="s">
        <v>95</v>
      </c>
      <c r="P73" s="7">
        <f>P40</f>
        <v>250668.31999999998</v>
      </c>
      <c r="Q73" s="7">
        <f>Q40</f>
        <v>126834.15999999999</v>
      </c>
      <c r="R73" s="163"/>
      <c r="U73" s="459"/>
    </row>
    <row r="74" spans="2:21" s="458" customFormat="1" ht="21.95" hidden="1" customHeight="1" x14ac:dyDescent="0.25">
      <c r="B74" s="268">
        <f t="shared" si="16"/>
        <v>62</v>
      </c>
      <c r="C74" s="5"/>
      <c r="D74" s="7"/>
      <c r="E74" s="162"/>
      <c r="F74" s="7"/>
      <c r="G74" s="7"/>
      <c r="H74" s="7"/>
      <c r="I74" s="19" t="s">
        <v>95</v>
      </c>
      <c r="P74" s="7"/>
      <c r="Q74" s="7"/>
      <c r="R74" s="163"/>
      <c r="U74" s="459"/>
    </row>
    <row r="75" spans="2:21" s="458" customFormat="1" ht="21.95" hidden="1" customHeight="1" x14ac:dyDescent="0.25">
      <c r="B75" s="268">
        <f t="shared" si="16"/>
        <v>63</v>
      </c>
      <c r="C75" s="15" t="s">
        <v>55</v>
      </c>
      <c r="D75" s="490">
        <v>7678709.0299999993</v>
      </c>
      <c r="E75" s="491">
        <f>E40+E3</f>
        <v>5648342</v>
      </c>
      <c r="F75" s="490">
        <f>F40+F3</f>
        <v>7550246.0900000008</v>
      </c>
      <c r="G75" s="490">
        <f>F75-E75</f>
        <v>1901904.0900000008</v>
      </c>
      <c r="H75" s="490">
        <f>H40+H3</f>
        <v>8690592.6132876724</v>
      </c>
      <c r="I75" s="19" t="s">
        <v>95</v>
      </c>
      <c r="P75" s="490">
        <f>P40+P3</f>
        <v>9637168.3200000003</v>
      </c>
      <c r="Q75" s="490">
        <f>Q40+Q3</f>
        <v>11113334.16</v>
      </c>
      <c r="R75" s="492"/>
      <c r="U75" s="459"/>
    </row>
    <row r="76" spans="2:21" s="458" customFormat="1" ht="21.95" customHeight="1" x14ac:dyDescent="0.25">
      <c r="B76" s="268">
        <f t="shared" si="16"/>
        <v>64</v>
      </c>
      <c r="C76" s="5"/>
      <c r="D76" s="7"/>
      <c r="E76" s="162"/>
      <c r="F76" s="7"/>
      <c r="G76" s="7"/>
      <c r="H76" s="7"/>
      <c r="I76" s="19" t="s">
        <v>95</v>
      </c>
      <c r="P76" s="7"/>
      <c r="Q76" s="7"/>
      <c r="R76" s="163"/>
      <c r="U76" s="459"/>
    </row>
    <row r="77" spans="2:21" s="458" customFormat="1" ht="21.95" customHeight="1" x14ac:dyDescent="0.25">
      <c r="B77" s="268">
        <f t="shared" si="16"/>
        <v>65</v>
      </c>
      <c r="C77" s="457" t="s">
        <v>56</v>
      </c>
      <c r="D77" s="7"/>
      <c r="E77" s="162"/>
      <c r="F77" s="7"/>
      <c r="G77" s="7"/>
      <c r="H77" s="7"/>
      <c r="I77" s="19" t="s">
        <v>95</v>
      </c>
      <c r="P77" s="7"/>
      <c r="Q77" s="7"/>
      <c r="R77" s="163"/>
      <c r="U77" s="459"/>
    </row>
    <row r="78" spans="2:21" s="458" customFormat="1" ht="21.95" hidden="1" customHeight="1" x14ac:dyDescent="0.25">
      <c r="B78" s="268">
        <f t="shared" si="16"/>
        <v>66</v>
      </c>
      <c r="C78" s="13" t="s">
        <v>57</v>
      </c>
      <c r="D78" s="6">
        <v>25780.34</v>
      </c>
      <c r="E78" s="493" t="e">
        <f>#REF!+#REF!-1</f>
        <v>#REF!</v>
      </c>
      <c r="F78" s="6" t="e">
        <f>#REF!+#REF!</f>
        <v>#REF!</v>
      </c>
      <c r="G78" s="6" t="e">
        <f>F78-E78</f>
        <v>#REF!</v>
      </c>
      <c r="H78" s="6" t="e">
        <f>#REF!+#REF!+#REF!</f>
        <v>#REF!</v>
      </c>
      <c r="I78" s="19" t="s">
        <v>95</v>
      </c>
      <c r="P78" s="6" t="e">
        <f>#REF!+#REF!+#REF!</f>
        <v>#REF!</v>
      </c>
      <c r="Q78" s="6" t="e">
        <f>#REF!+#REF!+#REF!</f>
        <v>#REF!</v>
      </c>
      <c r="R78" s="494"/>
      <c r="U78" s="459"/>
    </row>
    <row r="79" spans="2:21" s="458" customFormat="1" ht="21.95" customHeight="1" x14ac:dyDescent="0.25">
      <c r="B79" s="268" t="e">
        <f>#REF!+1</f>
        <v>#REF!</v>
      </c>
      <c r="C79" s="53" t="s">
        <v>59</v>
      </c>
      <c r="D79" s="52">
        <v>3057</v>
      </c>
      <c r="E79" s="239">
        <v>2282</v>
      </c>
      <c r="F79" s="52">
        <v>3443.46</v>
      </c>
      <c r="G79" s="52">
        <f>F79-E79</f>
        <v>1161.46</v>
      </c>
      <c r="H79" s="52">
        <f t="shared" ref="H79:H84" si="17">F79</f>
        <v>3443.46</v>
      </c>
      <c r="I79" s="19" t="s">
        <v>95</v>
      </c>
      <c r="P79" s="52">
        <v>3443.46</v>
      </c>
      <c r="Q79" s="52">
        <v>3443.46</v>
      </c>
      <c r="R79" s="240"/>
      <c r="S79" s="458" t="s">
        <v>707</v>
      </c>
      <c r="U79" s="459"/>
    </row>
    <row r="80" spans="2:21" s="458" customFormat="1" ht="21.95" customHeight="1" x14ac:dyDescent="0.25">
      <c r="B80" s="268" t="e">
        <f t="shared" si="16"/>
        <v>#REF!</v>
      </c>
      <c r="C80" s="53" t="s">
        <v>60</v>
      </c>
      <c r="D80" s="52">
        <v>4655</v>
      </c>
      <c r="E80" s="239">
        <v>4089</v>
      </c>
      <c r="F80" s="52">
        <v>6882.84</v>
      </c>
      <c r="G80" s="52">
        <f t="shared" ref="G80:G84" si="18">F80-E80</f>
        <v>2793.84</v>
      </c>
      <c r="H80" s="52">
        <f t="shared" si="17"/>
        <v>6882.84</v>
      </c>
      <c r="I80" s="19" t="s">
        <v>95</v>
      </c>
      <c r="P80" s="52">
        <v>6882.84</v>
      </c>
      <c r="Q80" s="52">
        <v>6882.84</v>
      </c>
      <c r="R80" s="240"/>
      <c r="U80" s="459"/>
    </row>
    <row r="81" spans="2:22" s="458" customFormat="1" ht="21.95" customHeight="1" x14ac:dyDescent="0.25">
      <c r="B81" s="268" t="e">
        <f t="shared" si="16"/>
        <v>#REF!</v>
      </c>
      <c r="C81" s="53" t="s">
        <v>61</v>
      </c>
      <c r="D81" s="52">
        <v>757</v>
      </c>
      <c r="E81" s="239">
        <v>1270</v>
      </c>
      <c r="F81" s="52">
        <v>1081.93</v>
      </c>
      <c r="G81" s="52">
        <f t="shared" si="18"/>
        <v>-188.06999999999994</v>
      </c>
      <c r="H81" s="52">
        <f t="shared" si="17"/>
        <v>1081.93</v>
      </c>
      <c r="I81" s="19" t="s">
        <v>95</v>
      </c>
      <c r="P81" s="52">
        <v>1081.93</v>
      </c>
      <c r="Q81" s="52">
        <v>1081.93</v>
      </c>
      <c r="R81" s="240"/>
      <c r="S81" s="458" t="s">
        <v>708</v>
      </c>
      <c r="U81" s="459"/>
    </row>
    <row r="82" spans="2:22" s="458" customFormat="1" ht="21.95" customHeight="1" x14ac:dyDescent="0.25">
      <c r="B82" s="268" t="e">
        <f t="shared" si="16"/>
        <v>#REF!</v>
      </c>
      <c r="C82" s="53" t="s">
        <v>62</v>
      </c>
      <c r="D82" s="52">
        <v>10969.34</v>
      </c>
      <c r="E82" s="239">
        <v>15476</v>
      </c>
      <c r="F82" s="52">
        <v>7512</v>
      </c>
      <c r="G82" s="52">
        <f t="shared" si="18"/>
        <v>-7964</v>
      </c>
      <c r="H82" s="52">
        <f t="shared" si="17"/>
        <v>7512</v>
      </c>
      <c r="I82" s="19" t="s">
        <v>95</v>
      </c>
      <c r="P82" s="52">
        <v>7512</v>
      </c>
      <c r="Q82" s="52">
        <v>7512</v>
      </c>
      <c r="R82" s="240"/>
      <c r="U82" s="459"/>
    </row>
    <row r="83" spans="2:22" s="458" customFormat="1" ht="21.95" customHeight="1" x14ac:dyDescent="0.25">
      <c r="B83" s="268" t="e">
        <f t="shared" si="16"/>
        <v>#REF!</v>
      </c>
      <c r="C83" s="53" t="s">
        <v>63</v>
      </c>
      <c r="D83" s="52">
        <v>1930</v>
      </c>
      <c r="E83" s="239">
        <v>11956</v>
      </c>
      <c r="F83" s="52">
        <v>2030.02</v>
      </c>
      <c r="G83" s="52">
        <f t="shared" si="18"/>
        <v>-9925.98</v>
      </c>
      <c r="H83" s="52">
        <f t="shared" si="17"/>
        <v>2030.02</v>
      </c>
      <c r="I83" s="19" t="s">
        <v>95</v>
      </c>
      <c r="P83" s="52">
        <v>2030.02</v>
      </c>
      <c r="Q83" s="52">
        <v>2030.02</v>
      </c>
      <c r="R83" s="240"/>
      <c r="U83" s="459"/>
    </row>
    <row r="84" spans="2:22" s="458" customFormat="1" ht="21.95" customHeight="1" x14ac:dyDescent="0.25">
      <c r="B84" s="268" t="e">
        <f t="shared" si="16"/>
        <v>#REF!</v>
      </c>
      <c r="C84" s="20" t="s">
        <v>64</v>
      </c>
      <c r="D84" s="32">
        <v>3455</v>
      </c>
      <c r="E84" s="232">
        <v>4516</v>
      </c>
      <c r="F84" s="32">
        <v>3638.85</v>
      </c>
      <c r="G84" s="52">
        <f t="shared" si="18"/>
        <v>-877.15000000000009</v>
      </c>
      <c r="H84" s="32">
        <f t="shared" si="17"/>
        <v>3638.85</v>
      </c>
      <c r="I84" s="19" t="s">
        <v>95</v>
      </c>
      <c r="M84" s="241"/>
      <c r="N84" s="241"/>
      <c r="O84" s="241"/>
      <c r="P84" s="32">
        <v>3638.85</v>
      </c>
      <c r="Q84" s="32">
        <v>3638.85</v>
      </c>
      <c r="R84" s="107"/>
      <c r="S84" s="458" t="s">
        <v>709</v>
      </c>
      <c r="U84" s="459"/>
    </row>
    <row r="85" spans="2:22" s="458" customFormat="1" ht="21.95" customHeight="1" x14ac:dyDescent="0.25">
      <c r="B85" s="268" t="e">
        <f>#REF!+1</f>
        <v>#REF!</v>
      </c>
      <c r="C85" s="53" t="s">
        <v>66</v>
      </c>
      <c r="D85" s="52">
        <v>714</v>
      </c>
      <c r="E85" s="239">
        <v>1526</v>
      </c>
      <c r="F85" s="52">
        <v>564.04999999999995</v>
      </c>
      <c r="G85" s="52">
        <f>F85-E85</f>
        <v>-961.95</v>
      </c>
      <c r="H85" s="52">
        <f>F85</f>
        <v>564.04999999999995</v>
      </c>
      <c r="I85" s="19" t="s">
        <v>95</v>
      </c>
      <c r="P85" s="52">
        <v>564.04999999999995</v>
      </c>
      <c r="Q85" s="52">
        <v>564.04999999999995</v>
      </c>
      <c r="R85" s="240"/>
      <c r="U85" s="459"/>
    </row>
    <row r="86" spans="2:22" s="458" customFormat="1" ht="21.95" customHeight="1" x14ac:dyDescent="0.25">
      <c r="B86" s="268" t="e">
        <f t="shared" si="16"/>
        <v>#REF!</v>
      </c>
      <c r="C86" s="53" t="s">
        <v>67</v>
      </c>
      <c r="D86" s="52">
        <v>173</v>
      </c>
      <c r="E86" s="239">
        <v>22215</v>
      </c>
      <c r="F86" s="52">
        <v>104.79</v>
      </c>
      <c r="G86" s="52">
        <f t="shared" ref="G86:G87" si="19">F86-E86</f>
        <v>-22110.21</v>
      </c>
      <c r="H86" s="52">
        <f>F86</f>
        <v>104.79</v>
      </c>
      <c r="I86" s="19" t="s">
        <v>95</v>
      </c>
      <c r="P86" s="52">
        <v>104.79</v>
      </c>
      <c r="Q86" s="52">
        <v>104.79</v>
      </c>
      <c r="R86" s="240"/>
      <c r="U86" s="459"/>
    </row>
    <row r="87" spans="2:22" s="458" customFormat="1" ht="21.95" customHeight="1" x14ac:dyDescent="0.25">
      <c r="B87" s="268" t="e">
        <f t="shared" si="16"/>
        <v>#REF!</v>
      </c>
      <c r="C87" s="53" t="s">
        <v>710</v>
      </c>
      <c r="D87" s="52">
        <v>70</v>
      </c>
      <c r="E87" s="239">
        <v>36</v>
      </c>
      <c r="F87" s="52">
        <v>20.100000000000001</v>
      </c>
      <c r="G87" s="52">
        <f t="shared" si="19"/>
        <v>-15.899999999999999</v>
      </c>
      <c r="H87" s="52">
        <f>F87</f>
        <v>20.100000000000001</v>
      </c>
      <c r="I87" s="19" t="s">
        <v>95</v>
      </c>
      <c r="P87" s="52">
        <v>20.100000000000001</v>
      </c>
      <c r="Q87" s="52">
        <v>20.100000000000001</v>
      </c>
      <c r="R87" s="240"/>
      <c r="U87" s="459"/>
    </row>
    <row r="88" spans="2:22" s="458" customFormat="1" ht="21.95" customHeight="1" x14ac:dyDescent="0.25">
      <c r="B88" s="268"/>
      <c r="C88" s="51"/>
      <c r="D88" s="106"/>
      <c r="E88" s="248"/>
      <c r="F88" s="106"/>
      <c r="G88" s="106"/>
      <c r="H88" s="106"/>
      <c r="I88" s="19"/>
      <c r="P88" s="106"/>
      <c r="Q88" s="106"/>
      <c r="R88" s="249"/>
      <c r="U88" s="459"/>
    </row>
    <row r="89" spans="2:22" s="458" customFormat="1" ht="34.5" customHeight="1" x14ac:dyDescent="0.25">
      <c r="B89" s="268" t="e">
        <f>#REF!+1</f>
        <v>#REF!</v>
      </c>
      <c r="C89" s="53" t="s">
        <v>70</v>
      </c>
      <c r="D89" s="52">
        <v>256527</v>
      </c>
      <c r="E89" s="239">
        <v>292599</v>
      </c>
      <c r="F89" s="52">
        <v>252725.78</v>
      </c>
      <c r="G89" s="52">
        <f>F89-E89</f>
        <v>-39873.22</v>
      </c>
      <c r="H89" s="52">
        <f>F89+252726*30%</f>
        <v>328543.58</v>
      </c>
      <c r="I89" s="43" t="s">
        <v>95</v>
      </c>
      <c r="J89" s="497"/>
      <c r="K89" s="497"/>
      <c r="L89" s="497"/>
      <c r="M89" s="497"/>
      <c r="N89" s="497"/>
      <c r="O89" s="497"/>
      <c r="P89" s="52">
        <f>H89</f>
        <v>328543.58</v>
      </c>
      <c r="Q89" s="52">
        <f>H89</f>
        <v>328543.58</v>
      </c>
      <c r="R89" s="253"/>
      <c r="S89" s="458" t="s">
        <v>713</v>
      </c>
      <c r="U89" s="495">
        <v>280000</v>
      </c>
    </row>
    <row r="90" spans="2:22" s="458" customFormat="1" ht="34.5" customHeight="1" x14ac:dyDescent="0.25">
      <c r="B90" s="268" t="e">
        <f t="shared" si="16"/>
        <v>#REF!</v>
      </c>
      <c r="C90" s="255" t="s">
        <v>714</v>
      </c>
      <c r="D90" s="52">
        <v>19490</v>
      </c>
      <c r="E90" s="239">
        <v>23724</v>
      </c>
      <c r="F90" s="52">
        <v>19143.490000000002</v>
      </c>
      <c r="G90" s="52">
        <f t="shared" ref="G90:G93" si="20">F90-E90</f>
        <v>-4580.5099999999984</v>
      </c>
      <c r="H90" s="256">
        <f>21000+'[1]terrecablate 2021 sp.telef.'!J73</f>
        <v>23374.43</v>
      </c>
      <c r="I90" s="257" t="s">
        <v>95</v>
      </c>
      <c r="J90" s="257"/>
      <c r="K90" s="257"/>
      <c r="L90" s="257"/>
      <c r="M90" s="257"/>
      <c r="N90" s="257"/>
      <c r="O90" s="257"/>
      <c r="P90" s="256">
        <f t="shared" ref="P90:P92" si="21">H90</f>
        <v>23374.43</v>
      </c>
      <c r="Q90" s="256">
        <f t="shared" ref="Q90:Q92" si="22">H90</f>
        <v>23374.43</v>
      </c>
      <c r="R90" s="240"/>
      <c r="S90" s="458" t="s">
        <v>715</v>
      </c>
      <c r="T90" s="496">
        <v>45291</v>
      </c>
      <c r="U90" s="495">
        <v>20000</v>
      </c>
    </row>
    <row r="91" spans="2:22" s="458" customFormat="1" ht="21.95" customHeight="1" x14ac:dyDescent="0.25">
      <c r="B91" s="268" t="e">
        <f>B90+1</f>
        <v>#REF!</v>
      </c>
      <c r="C91" s="53" t="s">
        <v>71</v>
      </c>
      <c r="D91" s="52">
        <v>728</v>
      </c>
      <c r="E91" s="239">
        <v>576</v>
      </c>
      <c r="F91" s="52">
        <v>670.36</v>
      </c>
      <c r="G91" s="52">
        <f t="shared" si="20"/>
        <v>94.360000000000014</v>
      </c>
      <c r="H91" s="52">
        <f>F91</f>
        <v>670.36</v>
      </c>
      <c r="I91" s="43" t="s">
        <v>95</v>
      </c>
      <c r="J91" s="497"/>
      <c r="K91" s="497"/>
      <c r="L91" s="497"/>
      <c r="M91" s="497"/>
      <c r="N91" s="497"/>
      <c r="O91" s="497"/>
      <c r="P91" s="52">
        <f t="shared" si="21"/>
        <v>670.36</v>
      </c>
      <c r="Q91" s="52">
        <f t="shared" si="22"/>
        <v>670.36</v>
      </c>
      <c r="R91" s="240"/>
      <c r="S91" s="458" t="s">
        <v>716</v>
      </c>
      <c r="U91" s="495">
        <v>670.36</v>
      </c>
    </row>
    <row r="92" spans="2:22" s="458" customFormat="1" ht="21.95" customHeight="1" x14ac:dyDescent="0.25">
      <c r="B92" s="268" t="e">
        <f>B91+1</f>
        <v>#REF!</v>
      </c>
      <c r="C92" s="53" t="s">
        <v>72</v>
      </c>
      <c r="D92" s="52">
        <v>7943</v>
      </c>
      <c r="E92" s="239">
        <v>7200</v>
      </c>
      <c r="F92" s="52">
        <v>7137.41</v>
      </c>
      <c r="G92" s="52">
        <f t="shared" si="20"/>
        <v>-62.590000000000146</v>
      </c>
      <c r="H92" s="52">
        <f>F92+7137*30%</f>
        <v>9278.51</v>
      </c>
      <c r="I92" s="43" t="s">
        <v>95</v>
      </c>
      <c r="J92" s="497"/>
      <c r="K92" s="497"/>
      <c r="L92" s="497"/>
      <c r="M92" s="497"/>
      <c r="N92" s="497"/>
      <c r="O92" s="497"/>
      <c r="P92" s="52">
        <f t="shared" si="21"/>
        <v>9278.51</v>
      </c>
      <c r="Q92" s="52">
        <f t="shared" si="22"/>
        <v>9278.51</v>
      </c>
      <c r="R92" s="253"/>
      <c r="S92" s="458" t="s">
        <v>717</v>
      </c>
      <c r="T92" s="496">
        <v>44561</v>
      </c>
      <c r="U92" s="495">
        <v>8000</v>
      </c>
    </row>
    <row r="93" spans="2:22" s="458" customFormat="1" ht="21.95" customHeight="1" x14ac:dyDescent="0.25">
      <c r="B93" s="268" t="e">
        <f>B92+1</f>
        <v>#REF!</v>
      </c>
      <c r="C93" s="53" t="s">
        <v>73</v>
      </c>
      <c r="D93" s="52">
        <v>20553</v>
      </c>
      <c r="E93" s="239">
        <v>12471</v>
      </c>
      <c r="F93" s="52">
        <v>23464.16</v>
      </c>
      <c r="G93" s="52">
        <f t="shared" si="20"/>
        <v>10993.16</v>
      </c>
      <c r="H93" s="52">
        <f>F93</f>
        <v>23464.16</v>
      </c>
      <c r="I93" s="19" t="s">
        <v>95</v>
      </c>
      <c r="P93" s="52">
        <f>H93</f>
        <v>23464.16</v>
      </c>
      <c r="Q93" s="52">
        <f>P93</f>
        <v>23464.16</v>
      </c>
      <c r="R93" s="240"/>
      <c r="S93" s="458" t="s">
        <v>718</v>
      </c>
      <c r="U93" s="495">
        <v>24000</v>
      </c>
    </row>
    <row r="94" spans="2:22" s="458" customFormat="1" ht="21.95" customHeight="1" x14ac:dyDescent="0.25">
      <c r="B94" s="268"/>
      <c r="C94" s="53"/>
      <c r="D94" s="52"/>
      <c r="E94" s="239"/>
      <c r="F94" s="52"/>
      <c r="G94" s="52"/>
      <c r="H94" s="52"/>
      <c r="I94" s="19"/>
      <c r="P94" s="52"/>
      <c r="Q94" s="52"/>
      <c r="R94" s="240"/>
      <c r="U94" s="495"/>
    </row>
    <row r="95" spans="2:22" s="458" customFormat="1" ht="21.95" customHeight="1" x14ac:dyDescent="0.25">
      <c r="B95" s="268" t="e">
        <f>#REF!+1</f>
        <v>#REF!</v>
      </c>
      <c r="C95" s="44" t="s">
        <v>76</v>
      </c>
      <c r="D95" s="52">
        <v>0</v>
      </c>
      <c r="E95" s="239">
        <v>15259</v>
      </c>
      <c r="F95" s="52">
        <v>0</v>
      </c>
      <c r="G95" s="52">
        <f>F95-E95</f>
        <v>-15259</v>
      </c>
      <c r="H95" s="52">
        <f>'[1]68,05,529 spese serv.cau e parc'!P1</f>
        <v>0</v>
      </c>
      <c r="I95" s="19" t="s">
        <v>95</v>
      </c>
      <c r="J95" s="501"/>
      <c r="K95" s="501"/>
      <c r="L95" s="501"/>
      <c r="M95" s="501"/>
      <c r="N95" s="524"/>
      <c r="O95" s="524"/>
      <c r="P95" s="52">
        <v>0</v>
      </c>
      <c r="Q95" s="52">
        <v>0</v>
      </c>
      <c r="R95" s="240"/>
      <c r="U95" s="459"/>
    </row>
    <row r="96" spans="2:22" s="458" customFormat="1" ht="21.95" customHeight="1" x14ac:dyDescent="0.25">
      <c r="B96" s="268" t="e">
        <f t="shared" ref="B96:B119" si="23">B95+1</f>
        <v>#REF!</v>
      </c>
      <c r="C96" s="269" t="s">
        <v>77</v>
      </c>
      <c r="D96" s="52">
        <v>366470</v>
      </c>
      <c r="E96" s="239">
        <v>354534</v>
      </c>
      <c r="F96" s="52">
        <v>375870.32</v>
      </c>
      <c r="G96" s="52">
        <f t="shared" ref="G96:G100" si="24">F96-E96</f>
        <v>21336.320000000007</v>
      </c>
      <c r="H96" s="52">
        <f>F96</f>
        <v>375870.32</v>
      </c>
      <c r="I96" s="19" t="s">
        <v>95</v>
      </c>
      <c r="J96" s="501" t="s">
        <v>721</v>
      </c>
      <c r="K96" s="501" t="s">
        <v>722</v>
      </c>
      <c r="L96" s="501"/>
      <c r="M96" s="270"/>
      <c r="N96" s="525"/>
      <c r="O96" s="525"/>
      <c r="P96" s="52">
        <v>375870.32</v>
      </c>
      <c r="Q96" s="52">
        <v>375870.32</v>
      </c>
      <c r="R96" s="240"/>
      <c r="S96" s="458" t="s">
        <v>723</v>
      </c>
      <c r="T96" s="496">
        <v>44561</v>
      </c>
      <c r="U96" s="502">
        <v>780000</v>
      </c>
      <c r="V96" s="19" t="s">
        <v>724</v>
      </c>
    </row>
    <row r="97" spans="2:22" s="458" customFormat="1" ht="21.95" customHeight="1" x14ac:dyDescent="0.25">
      <c r="B97" s="268" t="e">
        <f t="shared" si="23"/>
        <v>#REF!</v>
      </c>
      <c r="C97" s="269" t="s">
        <v>78</v>
      </c>
      <c r="D97" s="52">
        <v>0</v>
      </c>
      <c r="E97" s="239">
        <v>7390</v>
      </c>
      <c r="F97" s="52">
        <v>0</v>
      </c>
      <c r="G97" s="52">
        <f t="shared" si="24"/>
        <v>-7390</v>
      </c>
      <c r="H97" s="52">
        <f>'[1]68,05,532 pres,stazione'!P1</f>
        <v>0</v>
      </c>
      <c r="I97" s="19" t="s">
        <v>95</v>
      </c>
      <c r="J97" s="501"/>
      <c r="K97" s="501"/>
      <c r="L97" s="501"/>
      <c r="M97" s="501"/>
      <c r="N97" s="524"/>
      <c r="O97" s="524"/>
      <c r="P97" s="52">
        <v>0</v>
      </c>
      <c r="Q97" s="52">
        <v>0</v>
      </c>
      <c r="R97" s="240"/>
      <c r="U97" s="459"/>
    </row>
    <row r="98" spans="2:22" s="458" customFormat="1" ht="21.95" customHeight="1" x14ac:dyDescent="0.25">
      <c r="B98" s="268" t="e">
        <f t="shared" si="23"/>
        <v>#REF!</v>
      </c>
      <c r="C98" s="269" t="s">
        <v>79</v>
      </c>
      <c r="D98" s="52">
        <v>138611</v>
      </c>
      <c r="E98" s="239">
        <v>154811</v>
      </c>
      <c r="F98" s="52">
        <v>138548.59</v>
      </c>
      <c r="G98" s="52">
        <f t="shared" si="24"/>
        <v>-16262.410000000003</v>
      </c>
      <c r="H98" s="52">
        <f>F98</f>
        <v>138548.59</v>
      </c>
      <c r="I98" s="19" t="s">
        <v>95</v>
      </c>
      <c r="J98" s="501" t="s">
        <v>725</v>
      </c>
      <c r="K98" s="501" t="s">
        <v>726</v>
      </c>
      <c r="L98" s="501"/>
      <c r="M98" s="501"/>
      <c r="N98" s="524"/>
      <c r="O98" s="524"/>
      <c r="P98" s="52">
        <v>138548.59</v>
      </c>
      <c r="Q98" s="52">
        <v>138548.59</v>
      </c>
      <c r="R98" s="240"/>
      <c r="S98" s="458" t="s">
        <v>723</v>
      </c>
      <c r="T98" s="496">
        <v>44561</v>
      </c>
      <c r="U98" s="502">
        <f>(11940+103)*12</f>
        <v>144516</v>
      </c>
      <c r="V98" s="19" t="s">
        <v>727</v>
      </c>
    </row>
    <row r="99" spans="2:22" s="458" customFormat="1" ht="21.95" customHeight="1" x14ac:dyDescent="0.25">
      <c r="B99" s="268" t="e">
        <f t="shared" si="23"/>
        <v>#REF!</v>
      </c>
      <c r="C99" s="269" t="s">
        <v>80</v>
      </c>
      <c r="D99" s="52">
        <v>3916</v>
      </c>
      <c r="E99" s="239">
        <v>3491</v>
      </c>
      <c r="F99" s="52">
        <v>3601.14</v>
      </c>
      <c r="G99" s="52">
        <f t="shared" si="24"/>
        <v>110.13999999999987</v>
      </c>
      <c r="H99" s="52">
        <f>F99+1000</f>
        <v>4601.1399999999994</v>
      </c>
      <c r="I99" s="458" t="s">
        <v>728</v>
      </c>
      <c r="J99" s="501"/>
      <c r="K99" s="501"/>
      <c r="L99" s="501"/>
      <c r="M99" s="501"/>
      <c r="N99" s="524"/>
      <c r="O99" s="524"/>
      <c r="P99" s="52">
        <v>4601.1399999999994</v>
      </c>
      <c r="Q99" s="52">
        <v>4601.1399999999994</v>
      </c>
      <c r="R99" s="240"/>
      <c r="S99" s="458" t="s">
        <v>729</v>
      </c>
      <c r="T99" s="458" t="s">
        <v>730</v>
      </c>
      <c r="U99" s="459">
        <v>3800</v>
      </c>
    </row>
    <row r="100" spans="2:22" s="458" customFormat="1" ht="21.95" customHeight="1" x14ac:dyDescent="0.25">
      <c r="B100" s="268" t="e">
        <f t="shared" si="23"/>
        <v>#REF!</v>
      </c>
      <c r="C100" s="269" t="s">
        <v>81</v>
      </c>
      <c r="D100" s="52">
        <v>67287.95</v>
      </c>
      <c r="E100" s="239">
        <v>74576</v>
      </c>
      <c r="F100" s="52">
        <v>67287.95</v>
      </c>
      <c r="G100" s="52">
        <f t="shared" si="24"/>
        <v>-7288.0500000000029</v>
      </c>
      <c r="H100" s="52">
        <v>15000</v>
      </c>
      <c r="I100" s="497" t="s">
        <v>731</v>
      </c>
      <c r="J100" s="503" t="s">
        <v>732</v>
      </c>
      <c r="K100" s="503" t="s">
        <v>733</v>
      </c>
      <c r="L100" s="503"/>
      <c r="M100" s="503"/>
      <c r="N100" s="526"/>
      <c r="O100" s="526"/>
      <c r="P100" s="52">
        <v>15000</v>
      </c>
      <c r="Q100" s="52">
        <v>15000</v>
      </c>
      <c r="R100" s="253"/>
      <c r="S100" s="19"/>
      <c r="U100" s="502"/>
      <c r="V100" s="19" t="s">
        <v>727</v>
      </c>
    </row>
    <row r="101" spans="2:22" s="458" customFormat="1" ht="21.95" customHeight="1" x14ac:dyDescent="0.25">
      <c r="B101" s="268" t="e">
        <f t="shared" si="23"/>
        <v>#REF!</v>
      </c>
      <c r="C101" s="498"/>
      <c r="D101" s="499">
        <v>576284.94999999995</v>
      </c>
      <c r="E101" s="500">
        <f>SUM(E95:E100)</f>
        <v>610061</v>
      </c>
      <c r="F101" s="499">
        <f>SUM(F95:F100)</f>
        <v>585308</v>
      </c>
      <c r="G101" s="499">
        <f>F101-E101</f>
        <v>-24753</v>
      </c>
      <c r="H101" s="530"/>
      <c r="I101" s="353" t="s">
        <v>95</v>
      </c>
      <c r="J101" s="531"/>
      <c r="K101" s="531"/>
      <c r="L101" s="531"/>
      <c r="M101" s="531"/>
      <c r="N101" s="532">
        <f>SUM(H95:H100)</f>
        <v>534020.05000000005</v>
      </c>
      <c r="O101" s="527"/>
      <c r="P101" s="499">
        <f>SUM(P95:P100)</f>
        <v>534020.05000000005</v>
      </c>
      <c r="Q101" s="499">
        <f>SUM(Q95:Q100)</f>
        <v>534020.05000000005</v>
      </c>
      <c r="R101" s="425"/>
      <c r="U101" s="459"/>
    </row>
    <row r="102" spans="2:22" s="458" customFormat="1" ht="21.95" customHeight="1" x14ac:dyDescent="0.25">
      <c r="B102" s="268" t="e">
        <f t="shared" si="23"/>
        <v>#REF!</v>
      </c>
      <c r="C102" s="269" t="s">
        <v>83</v>
      </c>
      <c r="D102" s="52">
        <v>13489</v>
      </c>
      <c r="E102" s="239">
        <v>12970</v>
      </c>
      <c r="F102" s="52">
        <v>13295.51</v>
      </c>
      <c r="G102" s="52">
        <f>F102-E102</f>
        <v>325.51000000000022</v>
      </c>
      <c r="H102" s="52">
        <f>F102+100</f>
        <v>13395.51</v>
      </c>
      <c r="I102" s="19" t="s">
        <v>95</v>
      </c>
      <c r="J102" s="501" t="s">
        <v>734</v>
      </c>
      <c r="K102" s="501" t="s">
        <v>735</v>
      </c>
      <c r="L102" s="501"/>
      <c r="M102" s="501"/>
      <c r="N102" s="524"/>
      <c r="O102" s="524"/>
      <c r="P102" s="52">
        <f>H102</f>
        <v>13395.51</v>
      </c>
      <c r="Q102" s="52">
        <f>P102</f>
        <v>13395.51</v>
      </c>
      <c r="R102" s="240"/>
      <c r="U102" s="459"/>
    </row>
    <row r="103" spans="2:22" s="458" customFormat="1" ht="21.95" customHeight="1" x14ac:dyDescent="0.25">
      <c r="B103" s="268" t="e">
        <f>B104+1</f>
        <v>#REF!</v>
      </c>
      <c r="C103" s="269" t="s">
        <v>85</v>
      </c>
      <c r="D103" s="52">
        <v>640</v>
      </c>
      <c r="E103" s="239">
        <v>355</v>
      </c>
      <c r="F103" s="52">
        <v>647.84</v>
      </c>
      <c r="G103" s="52">
        <f t="shared" ref="G103:G107" si="25">F103-E103</f>
        <v>292.84000000000003</v>
      </c>
      <c r="H103" s="52">
        <f>F103+50</f>
        <v>697.84</v>
      </c>
      <c r="I103" s="19" t="s">
        <v>95</v>
      </c>
      <c r="P103" s="52">
        <f>H103</f>
        <v>697.84</v>
      </c>
      <c r="Q103" s="52">
        <f>P103</f>
        <v>697.84</v>
      </c>
      <c r="R103" s="240"/>
      <c r="U103" s="459"/>
    </row>
    <row r="104" spans="2:22" s="458" customFormat="1" ht="21.95" customHeight="1" x14ac:dyDescent="0.25">
      <c r="B104" s="268" t="e">
        <f>B102+1</f>
        <v>#REF!</v>
      </c>
      <c r="C104" s="269" t="s">
        <v>84</v>
      </c>
      <c r="D104" s="52">
        <v>27498</v>
      </c>
      <c r="E104" s="239">
        <v>15318</v>
      </c>
      <c r="F104" s="52">
        <v>25294.76</v>
      </c>
      <c r="G104" s="52">
        <f t="shared" si="25"/>
        <v>9976.7599999999984</v>
      </c>
      <c r="H104" s="52">
        <f>F104+10000</f>
        <v>35294.759999999995</v>
      </c>
      <c r="I104" s="458" t="s">
        <v>736</v>
      </c>
      <c r="P104" s="252">
        <f>H104</f>
        <v>35294.759999999995</v>
      </c>
      <c r="Q104" s="252">
        <f>P104</f>
        <v>35294.759999999995</v>
      </c>
      <c r="R104" s="253"/>
      <c r="S104" s="458" t="s">
        <v>737</v>
      </c>
      <c r="U104" s="459"/>
    </row>
    <row r="105" spans="2:22" s="458" customFormat="1" ht="21.95" customHeight="1" x14ac:dyDescent="0.25">
      <c r="B105" s="268" t="e">
        <f>B103+1</f>
        <v>#REF!</v>
      </c>
      <c r="C105" s="269" t="s">
        <v>86</v>
      </c>
      <c r="D105" s="52">
        <v>358</v>
      </c>
      <c r="E105" s="239">
        <v>75</v>
      </c>
      <c r="F105" s="52">
        <v>308.82</v>
      </c>
      <c r="G105" s="52">
        <f t="shared" si="25"/>
        <v>233.82</v>
      </c>
      <c r="H105" s="52">
        <f>F105+500</f>
        <v>808.81999999999994</v>
      </c>
      <c r="I105" s="458" t="s">
        <v>736</v>
      </c>
      <c r="P105" s="52">
        <f>H105</f>
        <v>808.81999999999994</v>
      </c>
      <c r="Q105" s="52">
        <f>P105</f>
        <v>808.81999999999994</v>
      </c>
      <c r="R105" s="240"/>
      <c r="U105" s="459"/>
    </row>
    <row r="106" spans="2:22" s="458" customFormat="1" ht="21.95" customHeight="1" x14ac:dyDescent="0.25">
      <c r="B106" s="268" t="e">
        <f t="shared" si="23"/>
        <v>#REF!</v>
      </c>
      <c r="C106" s="269" t="s">
        <v>87</v>
      </c>
      <c r="D106" s="52">
        <v>3469</v>
      </c>
      <c r="E106" s="239">
        <v>1725</v>
      </c>
      <c r="F106" s="52">
        <v>3371.1</v>
      </c>
      <c r="G106" s="52">
        <f t="shared" si="25"/>
        <v>1646.1</v>
      </c>
      <c r="H106" s="52">
        <f>F106+500</f>
        <v>3871.1</v>
      </c>
      <c r="I106" s="458" t="s">
        <v>736</v>
      </c>
      <c r="P106" s="52">
        <v>3871.1</v>
      </c>
      <c r="Q106" s="52">
        <v>3871.1</v>
      </c>
      <c r="R106" s="240"/>
      <c r="U106" s="459"/>
    </row>
    <row r="107" spans="2:22" s="497" customFormat="1" ht="21.95" customHeight="1" x14ac:dyDescent="0.25">
      <c r="B107" s="268" t="e">
        <f t="shared" si="23"/>
        <v>#REF!</v>
      </c>
      <c r="C107" s="269" t="s">
        <v>88</v>
      </c>
      <c r="D107" s="52">
        <v>189</v>
      </c>
      <c r="E107" s="239">
        <v>206</v>
      </c>
      <c r="F107" s="52">
        <v>188.5</v>
      </c>
      <c r="G107" s="52">
        <f t="shared" si="25"/>
        <v>-17.5</v>
      </c>
      <c r="H107" s="52">
        <f>F107</f>
        <v>188.5</v>
      </c>
      <c r="I107" s="19" t="s">
        <v>95</v>
      </c>
      <c r="P107" s="52">
        <v>188.5</v>
      </c>
      <c r="Q107" s="52">
        <v>188.5</v>
      </c>
      <c r="R107" s="240"/>
      <c r="U107" s="504"/>
    </row>
    <row r="108" spans="2:22" s="458" customFormat="1" ht="21.95" customHeight="1" x14ac:dyDescent="0.25">
      <c r="B108" s="268" t="e">
        <f t="shared" si="23"/>
        <v>#REF!</v>
      </c>
      <c r="C108" s="498"/>
      <c r="D108" s="499"/>
      <c r="E108" s="500"/>
      <c r="F108" s="499"/>
      <c r="G108" s="505"/>
      <c r="H108" s="530"/>
      <c r="I108" s="353" t="s">
        <v>95</v>
      </c>
      <c r="J108" s="523"/>
      <c r="K108" s="523"/>
      <c r="L108" s="523"/>
      <c r="M108" s="523"/>
      <c r="N108" s="529">
        <f>SUM(H102:H107)</f>
        <v>54256.529999999992</v>
      </c>
      <c r="O108" s="528"/>
      <c r="P108" s="499">
        <f>SUM(P102:P107)</f>
        <v>54256.529999999992</v>
      </c>
      <c r="Q108" s="499">
        <f>SUM(Q102:Q107)</f>
        <v>54256.529999999992</v>
      </c>
      <c r="R108" s="425"/>
      <c r="U108" s="459"/>
    </row>
    <row r="109" spans="2:22" s="458" customFormat="1" ht="35.25" customHeight="1" x14ac:dyDescent="0.25">
      <c r="B109" s="268" t="e">
        <f t="shared" si="23"/>
        <v>#REF!</v>
      </c>
      <c r="C109" s="269" t="s">
        <v>90</v>
      </c>
      <c r="D109" s="54">
        <v>185000</v>
      </c>
      <c r="E109" s="239">
        <v>146458</v>
      </c>
      <c r="F109" s="52">
        <v>183456.6</v>
      </c>
      <c r="G109" s="52">
        <f>F109-E109</f>
        <v>36998.600000000006</v>
      </c>
      <c r="H109" s="54">
        <f>U109</f>
        <v>175740</v>
      </c>
      <c r="I109" s="43" t="s">
        <v>95</v>
      </c>
      <c r="J109" s="497"/>
      <c r="K109" s="497"/>
      <c r="L109" s="497"/>
      <c r="M109" s="497"/>
      <c r="N109" s="497"/>
      <c r="O109" s="497"/>
      <c r="P109" s="275">
        <f>H109</f>
        <v>175740</v>
      </c>
      <c r="Q109" s="275">
        <f>P109</f>
        <v>175740</v>
      </c>
      <c r="R109" s="249"/>
      <c r="S109" s="458" t="s">
        <v>738</v>
      </c>
      <c r="T109" s="496">
        <v>46326</v>
      </c>
      <c r="U109" s="502">
        <v>175740</v>
      </c>
      <c r="V109" s="458" t="s">
        <v>739</v>
      </c>
    </row>
    <row r="110" spans="2:22" s="458" customFormat="1" ht="21.95" customHeight="1" x14ac:dyDescent="0.25">
      <c r="B110" s="268" t="e">
        <f t="shared" si="23"/>
        <v>#REF!</v>
      </c>
      <c r="C110" s="269" t="s">
        <v>91</v>
      </c>
      <c r="D110" s="52">
        <v>28841</v>
      </c>
      <c r="E110" s="239">
        <v>28841</v>
      </c>
      <c r="F110" s="52">
        <v>28841.4</v>
      </c>
      <c r="G110" s="52">
        <f t="shared" ref="G110:G126" si="26">F110-E110</f>
        <v>0.40000000000145519</v>
      </c>
      <c r="H110" s="52">
        <f>F110</f>
        <v>28841.4</v>
      </c>
      <c r="I110" s="43" t="s">
        <v>95</v>
      </c>
      <c r="J110" s="497"/>
      <c r="K110" s="497"/>
      <c r="L110" s="497"/>
      <c r="M110" s="497"/>
      <c r="N110" s="497"/>
      <c r="O110" s="497"/>
      <c r="P110" s="52">
        <v>28841.4</v>
      </c>
      <c r="Q110" s="52">
        <v>28841.4</v>
      </c>
      <c r="R110" s="240"/>
      <c r="S110" s="458" t="s">
        <v>740</v>
      </c>
      <c r="T110" s="458" t="s">
        <v>741</v>
      </c>
      <c r="U110" s="495">
        <v>28841</v>
      </c>
    </row>
    <row r="111" spans="2:22" s="458" customFormat="1" ht="21.95" customHeight="1" x14ac:dyDescent="0.25">
      <c r="B111" s="268" t="e">
        <f>B116+1</f>
        <v>#REF!</v>
      </c>
      <c r="C111" s="269" t="s">
        <v>93</v>
      </c>
      <c r="D111" s="52">
        <v>29280</v>
      </c>
      <c r="E111" s="239">
        <v>25140</v>
      </c>
      <c r="F111" s="52">
        <v>29280</v>
      </c>
      <c r="G111" s="52">
        <f t="shared" si="26"/>
        <v>4140</v>
      </c>
      <c r="H111" s="52">
        <f>U111</f>
        <v>26200</v>
      </c>
      <c r="I111" s="43" t="s">
        <v>95</v>
      </c>
      <c r="J111" s="497"/>
      <c r="K111" s="497"/>
      <c r="L111" s="497"/>
      <c r="M111" s="497"/>
      <c r="N111" s="497"/>
      <c r="O111" s="497"/>
      <c r="P111" s="252">
        <f>H111</f>
        <v>26200</v>
      </c>
      <c r="Q111" s="252">
        <f>P111</f>
        <v>26200</v>
      </c>
      <c r="R111" s="240"/>
      <c r="S111" s="458" t="s">
        <v>742</v>
      </c>
      <c r="T111" s="496">
        <v>44957</v>
      </c>
      <c r="U111" s="277">
        <v>26200</v>
      </c>
      <c r="V111" s="19" t="s">
        <v>739</v>
      </c>
    </row>
    <row r="112" spans="2:22" s="458" customFormat="1" ht="21.95" customHeight="1" x14ac:dyDescent="0.25">
      <c r="B112" s="268" t="e">
        <f>B111+1</f>
        <v>#REF!</v>
      </c>
      <c r="C112" s="269" t="s">
        <v>94</v>
      </c>
      <c r="D112" s="52">
        <v>14486</v>
      </c>
      <c r="E112" s="239">
        <v>14367</v>
      </c>
      <c r="F112" s="52">
        <v>14486</v>
      </c>
      <c r="G112" s="52">
        <f t="shared" si="26"/>
        <v>119</v>
      </c>
      <c r="H112" s="52">
        <f>F112</f>
        <v>14486</v>
      </c>
      <c r="I112" s="43" t="s">
        <v>95</v>
      </c>
      <c r="J112" s="497"/>
      <c r="K112" s="497"/>
      <c r="L112" s="497"/>
      <c r="M112" s="497"/>
      <c r="N112" s="497"/>
      <c r="O112" s="497"/>
      <c r="P112" s="52">
        <v>14486</v>
      </c>
      <c r="Q112" s="52">
        <v>14486</v>
      </c>
      <c r="R112" s="240"/>
      <c r="S112" s="458" t="s">
        <v>743</v>
      </c>
      <c r="T112" s="496">
        <v>44804</v>
      </c>
      <c r="U112" s="495">
        <v>14486</v>
      </c>
    </row>
    <row r="113" spans="2:22" s="458" customFormat="1" ht="21.95" customHeight="1" x14ac:dyDescent="0.25">
      <c r="B113" s="268" t="e">
        <f>B112+1</f>
        <v>#REF!</v>
      </c>
      <c r="C113" s="269" t="s">
        <v>96</v>
      </c>
      <c r="D113" s="52">
        <v>99660</v>
      </c>
      <c r="E113" s="239">
        <v>99660</v>
      </c>
      <c r="F113" s="52">
        <v>99660.44</v>
      </c>
      <c r="G113" s="52">
        <f t="shared" si="26"/>
        <v>0.44000000000232831</v>
      </c>
      <c r="H113" s="52">
        <f>F113</f>
        <v>99660.44</v>
      </c>
      <c r="I113" s="19" t="s">
        <v>95</v>
      </c>
      <c r="P113" s="52">
        <v>99660.44</v>
      </c>
      <c r="Q113" s="52">
        <v>99660.44</v>
      </c>
      <c r="R113" s="240"/>
      <c r="S113" s="458" t="s">
        <v>744</v>
      </c>
      <c r="T113" s="458" t="s">
        <v>745</v>
      </c>
      <c r="U113" s="495">
        <v>99660</v>
      </c>
    </row>
    <row r="114" spans="2:22" s="458" customFormat="1" ht="21.95" customHeight="1" x14ac:dyDescent="0.25">
      <c r="B114" s="268" t="e">
        <f>B113+1</f>
        <v>#REF!</v>
      </c>
      <c r="C114" s="269" t="s">
        <v>97</v>
      </c>
      <c r="D114" s="52">
        <v>0</v>
      </c>
      <c r="E114" s="239">
        <v>1206</v>
      </c>
      <c r="F114" s="52">
        <v>0</v>
      </c>
      <c r="G114" s="52">
        <f t="shared" si="26"/>
        <v>-1206</v>
      </c>
      <c r="H114" s="52">
        <f>'[1]68,05,570 CONTR.ASS.SERVER PRIV'!P1</f>
        <v>0</v>
      </c>
      <c r="I114" s="19" t="s">
        <v>95</v>
      </c>
      <c r="P114" s="52">
        <v>0</v>
      </c>
      <c r="Q114" s="52">
        <v>0</v>
      </c>
      <c r="R114" s="240"/>
      <c r="U114" s="459"/>
    </row>
    <row r="115" spans="2:22" s="458" customFormat="1" ht="21.95" customHeight="1" x14ac:dyDescent="0.25">
      <c r="B115" s="268" t="e">
        <f>B114+1</f>
        <v>#REF!</v>
      </c>
      <c r="C115" s="269" t="s">
        <v>98</v>
      </c>
      <c r="D115" s="52">
        <v>5410</v>
      </c>
      <c r="E115" s="239">
        <v>3528</v>
      </c>
      <c r="F115" s="52">
        <v>5395</v>
      </c>
      <c r="G115" s="52">
        <f t="shared" si="26"/>
        <v>1867</v>
      </c>
      <c r="H115" s="52">
        <f t="shared" ref="H115:H125" si="27">F115</f>
        <v>5395</v>
      </c>
      <c r="I115" s="19" t="s">
        <v>95</v>
      </c>
      <c r="P115" s="52">
        <v>5395</v>
      </c>
      <c r="Q115" s="52">
        <v>5395</v>
      </c>
      <c r="R115" s="240"/>
      <c r="S115" s="458" t="s">
        <v>746</v>
      </c>
      <c r="T115" s="496">
        <v>45291</v>
      </c>
      <c r="U115" s="495">
        <v>5395</v>
      </c>
    </row>
    <row r="116" spans="2:22" s="458" customFormat="1" ht="21.95" customHeight="1" x14ac:dyDescent="0.25">
      <c r="B116" s="268" t="e">
        <f>B110+1</f>
        <v>#REF!</v>
      </c>
      <c r="C116" s="269" t="s">
        <v>92</v>
      </c>
      <c r="D116" s="52">
        <v>12600</v>
      </c>
      <c r="E116" s="239">
        <v>12635</v>
      </c>
      <c r="F116" s="52">
        <v>12600</v>
      </c>
      <c r="G116" s="52">
        <f t="shared" si="26"/>
        <v>-35</v>
      </c>
      <c r="H116" s="52">
        <f t="shared" si="27"/>
        <v>12600</v>
      </c>
      <c r="I116" s="19" t="s">
        <v>95</v>
      </c>
      <c r="P116" s="52">
        <v>12600</v>
      </c>
      <c r="Q116" s="52">
        <v>12600</v>
      </c>
      <c r="R116" s="240"/>
      <c r="S116" s="458" t="s">
        <v>747</v>
      </c>
      <c r="T116" s="496">
        <v>44926</v>
      </c>
      <c r="U116" s="495">
        <v>12600</v>
      </c>
    </row>
    <row r="117" spans="2:22" s="458" customFormat="1" ht="21.95" customHeight="1" x14ac:dyDescent="0.25">
      <c r="B117" s="268" t="e">
        <f>B115+1</f>
        <v>#REF!</v>
      </c>
      <c r="C117" s="269" t="s">
        <v>99</v>
      </c>
      <c r="D117" s="52">
        <v>6010</v>
      </c>
      <c r="E117" s="239">
        <v>6009</v>
      </c>
      <c r="F117" s="52">
        <v>7233.99</v>
      </c>
      <c r="G117" s="52">
        <f t="shared" si="26"/>
        <v>1224.9899999999998</v>
      </c>
      <c r="H117" s="52">
        <f t="shared" si="27"/>
        <v>7233.99</v>
      </c>
      <c r="I117" s="19" t="s">
        <v>95</v>
      </c>
      <c r="P117" s="52">
        <v>7233.99</v>
      </c>
      <c r="Q117" s="52">
        <v>7233.99</v>
      </c>
      <c r="R117" s="240"/>
      <c r="S117" s="458" t="s">
        <v>748</v>
      </c>
      <c r="T117" s="496">
        <v>45201</v>
      </c>
      <c r="U117" s="495">
        <v>7234</v>
      </c>
    </row>
    <row r="118" spans="2:22" s="458" customFormat="1" ht="32.25" customHeight="1" x14ac:dyDescent="0.25">
      <c r="B118" s="268" t="e">
        <f t="shared" si="23"/>
        <v>#REF!</v>
      </c>
      <c r="C118" s="269" t="s">
        <v>100</v>
      </c>
      <c r="D118" s="52">
        <v>11803.776666666672</v>
      </c>
      <c r="E118" s="239">
        <v>25156</v>
      </c>
      <c r="F118" s="52">
        <v>11811.7</v>
      </c>
      <c r="G118" s="52">
        <f t="shared" si="26"/>
        <v>-13344.3</v>
      </c>
      <c r="H118" s="52">
        <f t="shared" si="27"/>
        <v>11811.7</v>
      </c>
      <c r="I118" s="19" t="s">
        <v>95</v>
      </c>
      <c r="P118" s="52">
        <v>11811.7</v>
      </c>
      <c r="Q118" s="52">
        <v>11811.7</v>
      </c>
      <c r="R118" s="240"/>
      <c r="S118" s="458" t="s">
        <v>749</v>
      </c>
      <c r="T118" s="496">
        <v>46203</v>
      </c>
      <c r="U118" s="495">
        <f>11811.7</f>
        <v>11811.7</v>
      </c>
    </row>
    <row r="119" spans="2:22" s="458" customFormat="1" ht="21.95" customHeight="1" x14ac:dyDescent="0.25">
      <c r="B119" s="268" t="e">
        <f t="shared" si="23"/>
        <v>#REF!</v>
      </c>
      <c r="C119" s="269" t="s">
        <v>101</v>
      </c>
      <c r="D119" s="52">
        <v>523.57000000000005</v>
      </c>
      <c r="E119" s="239">
        <v>525</v>
      </c>
      <c r="F119" s="52">
        <v>523.57000000000005</v>
      </c>
      <c r="G119" s="52">
        <f t="shared" si="26"/>
        <v>-1.42999999999995</v>
      </c>
      <c r="H119" s="52">
        <f t="shared" si="27"/>
        <v>523.57000000000005</v>
      </c>
      <c r="I119" s="19" t="s">
        <v>95</v>
      </c>
      <c r="P119" s="52">
        <v>523.57000000000005</v>
      </c>
      <c r="Q119" s="52">
        <v>523.57000000000005</v>
      </c>
      <c r="R119" s="240"/>
      <c r="S119" s="458" t="s">
        <v>750</v>
      </c>
      <c r="U119" s="495">
        <v>524</v>
      </c>
    </row>
    <row r="120" spans="2:22" s="458" customFormat="1" ht="21.95" customHeight="1" x14ac:dyDescent="0.25">
      <c r="B120" s="268" t="e">
        <f>B124+1</f>
        <v>#REF!</v>
      </c>
      <c r="C120" s="269" t="s">
        <v>106</v>
      </c>
      <c r="D120" s="52">
        <v>808</v>
      </c>
      <c r="E120" s="239">
        <v>1452</v>
      </c>
      <c r="F120" s="52">
        <v>806</v>
      </c>
      <c r="G120" s="52">
        <f t="shared" si="26"/>
        <v>-646</v>
      </c>
      <c r="H120" s="52">
        <f t="shared" si="27"/>
        <v>806</v>
      </c>
      <c r="I120" s="19" t="s">
        <v>95</v>
      </c>
      <c r="P120" s="52">
        <v>806</v>
      </c>
      <c r="Q120" s="52">
        <v>806</v>
      </c>
      <c r="R120" s="240"/>
      <c r="S120" s="458" t="s">
        <v>751</v>
      </c>
      <c r="T120" s="496">
        <v>44561</v>
      </c>
      <c r="U120" s="495">
        <f>490/2</f>
        <v>245</v>
      </c>
      <c r="V120" s="458" t="s">
        <v>752</v>
      </c>
    </row>
    <row r="121" spans="2:22" s="458" customFormat="1" ht="21.95" customHeight="1" x14ac:dyDescent="0.25">
      <c r="B121" s="268" t="e">
        <f>B119+1</f>
        <v>#REF!</v>
      </c>
      <c r="C121" s="269" t="s">
        <v>102</v>
      </c>
      <c r="D121" s="52">
        <v>12000</v>
      </c>
      <c r="E121" s="239">
        <v>12000</v>
      </c>
      <c r="F121" s="52">
        <v>12000</v>
      </c>
      <c r="G121" s="52">
        <f t="shared" si="26"/>
        <v>0</v>
      </c>
      <c r="H121" s="52">
        <f t="shared" si="27"/>
        <v>12000</v>
      </c>
      <c r="I121" s="19" t="s">
        <v>95</v>
      </c>
      <c r="P121" s="52">
        <v>12000</v>
      </c>
      <c r="Q121" s="52">
        <v>12000</v>
      </c>
      <c r="R121" s="240"/>
      <c r="S121" s="458" t="s">
        <v>743</v>
      </c>
      <c r="T121" s="496">
        <v>44804</v>
      </c>
      <c r="U121" s="495">
        <v>12000</v>
      </c>
    </row>
    <row r="122" spans="2:22" s="458" customFormat="1" ht="21.95" customHeight="1" x14ac:dyDescent="0.25">
      <c r="B122" s="268" t="e">
        <f>B120+1</f>
        <v>#REF!</v>
      </c>
      <c r="C122" s="269" t="s">
        <v>107</v>
      </c>
      <c r="D122" s="52">
        <v>565.58999999999992</v>
      </c>
      <c r="E122" s="239">
        <v>1129</v>
      </c>
      <c r="F122" s="52">
        <v>564.29</v>
      </c>
      <c r="G122" s="52">
        <f t="shared" si="26"/>
        <v>-564.71</v>
      </c>
      <c r="H122" s="52">
        <f t="shared" si="27"/>
        <v>564.29</v>
      </c>
      <c r="I122" s="19" t="s">
        <v>95</v>
      </c>
      <c r="P122" s="52">
        <v>564.29</v>
      </c>
      <c r="Q122" s="52">
        <v>564.29</v>
      </c>
      <c r="R122" s="240"/>
      <c r="S122" s="458" t="s">
        <v>753</v>
      </c>
      <c r="T122" s="496">
        <v>46752</v>
      </c>
      <c r="U122" s="495">
        <v>564.29999999999995</v>
      </c>
    </row>
    <row r="123" spans="2:22" s="458" customFormat="1" ht="21.95" customHeight="1" x14ac:dyDescent="0.25">
      <c r="B123" s="268" t="e">
        <f>B125+1</f>
        <v>#REF!</v>
      </c>
      <c r="C123" s="269" t="s">
        <v>103</v>
      </c>
      <c r="D123" s="52">
        <v>225</v>
      </c>
      <c r="E123" s="239">
        <v>933</v>
      </c>
      <c r="F123" s="52">
        <v>500</v>
      </c>
      <c r="G123" s="52">
        <f t="shared" si="26"/>
        <v>-433</v>
      </c>
      <c r="H123" s="52">
        <f t="shared" si="27"/>
        <v>500</v>
      </c>
      <c r="I123" s="19" t="s">
        <v>95</v>
      </c>
      <c r="P123" s="52">
        <v>500</v>
      </c>
      <c r="Q123" s="52">
        <v>500</v>
      </c>
      <c r="R123" s="240"/>
      <c r="S123" s="458" t="s">
        <v>754</v>
      </c>
      <c r="T123" s="496">
        <v>44561</v>
      </c>
      <c r="U123" s="278">
        <v>500</v>
      </c>
    </row>
    <row r="124" spans="2:22" s="458" customFormat="1" ht="21.95" customHeight="1" x14ac:dyDescent="0.25">
      <c r="B124" s="268" t="e">
        <f>B123+1</f>
        <v>#REF!</v>
      </c>
      <c r="C124" s="269" t="s">
        <v>104</v>
      </c>
      <c r="D124" s="52">
        <v>3008</v>
      </c>
      <c r="E124" s="239">
        <v>6000</v>
      </c>
      <c r="F124" s="52">
        <v>3000</v>
      </c>
      <c r="G124" s="52">
        <f t="shared" si="26"/>
        <v>-3000</v>
      </c>
      <c r="H124" s="52">
        <f t="shared" si="27"/>
        <v>3000</v>
      </c>
      <c r="I124" s="19" t="s">
        <v>95</v>
      </c>
      <c r="P124" s="52">
        <v>3000</v>
      </c>
      <c r="Q124" s="52">
        <v>3000</v>
      </c>
      <c r="R124" s="240"/>
      <c r="S124" s="458" t="s">
        <v>755</v>
      </c>
      <c r="U124" s="459">
        <v>800</v>
      </c>
      <c r="V124" s="19" t="s">
        <v>756</v>
      </c>
    </row>
    <row r="125" spans="2:22" s="458" customFormat="1" ht="21.95" customHeight="1" x14ac:dyDescent="0.25">
      <c r="B125" s="268" t="e">
        <f>B121+1</f>
        <v>#REF!</v>
      </c>
      <c r="C125" s="269" t="s">
        <v>105</v>
      </c>
      <c r="D125" s="52">
        <v>1000</v>
      </c>
      <c r="E125" s="239">
        <v>933</v>
      </c>
      <c r="F125" s="52">
        <v>0</v>
      </c>
      <c r="G125" s="52">
        <f t="shared" si="26"/>
        <v>-933</v>
      </c>
      <c r="H125" s="52">
        <f t="shared" si="27"/>
        <v>0</v>
      </c>
      <c r="I125" s="19" t="s">
        <v>95</v>
      </c>
      <c r="P125" s="52">
        <v>0</v>
      </c>
      <c r="Q125" s="52">
        <v>0</v>
      </c>
      <c r="R125" s="240"/>
      <c r="U125" s="459"/>
    </row>
    <row r="126" spans="2:22" s="458" customFormat="1" ht="21.95" customHeight="1" x14ac:dyDescent="0.25">
      <c r="B126" s="268"/>
      <c r="C126" s="269" t="s">
        <v>757</v>
      </c>
      <c r="D126" s="197">
        <v>10000</v>
      </c>
      <c r="E126" s="198">
        <v>0</v>
      </c>
      <c r="F126" s="197">
        <v>4718.2299999999996</v>
      </c>
      <c r="G126" s="52">
        <f t="shared" si="26"/>
        <v>4718.2299999999996</v>
      </c>
      <c r="H126" s="52">
        <v>10000</v>
      </c>
      <c r="I126" s="19" t="s">
        <v>95</v>
      </c>
      <c r="N126" s="528"/>
      <c r="P126" s="52">
        <v>10000</v>
      </c>
      <c r="Q126" s="52">
        <v>10000</v>
      </c>
      <c r="R126" s="240"/>
      <c r="S126" s="458" t="s">
        <v>758</v>
      </c>
      <c r="U126" s="459"/>
    </row>
    <row r="127" spans="2:22" s="458" customFormat="1" ht="21.95" customHeight="1" x14ac:dyDescent="0.25">
      <c r="B127" s="268" t="e">
        <f>B122+1</f>
        <v>#REF!</v>
      </c>
      <c r="C127" s="498"/>
      <c r="D127" s="507">
        <v>421220.9366666667</v>
      </c>
      <c r="E127" s="508">
        <f>SUM(E109:E126)+2</f>
        <v>385974</v>
      </c>
      <c r="F127" s="507">
        <f>SUM(F109:F126)</f>
        <v>414877.22</v>
      </c>
      <c r="G127" s="507">
        <f>F127-E127</f>
        <v>28903.219999999972</v>
      </c>
      <c r="H127" s="533"/>
      <c r="I127" s="353" t="s">
        <v>95</v>
      </c>
      <c r="J127" s="523"/>
      <c r="K127" s="523"/>
      <c r="L127" s="523"/>
      <c r="M127" s="523"/>
      <c r="N127" s="529">
        <f>SUM(H109:H126)</f>
        <v>409362.38999999996</v>
      </c>
      <c r="P127" s="507">
        <f>SUM(P109:P126)</f>
        <v>409362.38999999996</v>
      </c>
      <c r="Q127" s="507">
        <f>SUM(Q109:Q126)</f>
        <v>409362.38999999996</v>
      </c>
      <c r="R127" s="509"/>
      <c r="U127" s="459"/>
    </row>
    <row r="128" spans="2:22" s="35" customFormat="1" ht="21.95" customHeight="1" x14ac:dyDescent="0.25">
      <c r="B128" s="485" t="e">
        <f>B123+1</f>
        <v>#REF!</v>
      </c>
      <c r="C128" s="283" t="s">
        <v>109</v>
      </c>
      <c r="D128" s="510">
        <v>600</v>
      </c>
      <c r="E128" s="511">
        <v>600</v>
      </c>
      <c r="F128" s="510">
        <v>600</v>
      </c>
      <c r="G128" s="510">
        <f>F128-E128</f>
        <v>0</v>
      </c>
      <c r="H128" s="511">
        <v>600</v>
      </c>
      <c r="I128" s="19" t="s">
        <v>95</v>
      </c>
      <c r="P128" s="511">
        <v>600</v>
      </c>
      <c r="Q128" s="511">
        <v>600</v>
      </c>
      <c r="R128" s="512"/>
      <c r="U128" s="287"/>
    </row>
    <row r="129" spans="2:21" s="35" customFormat="1" ht="21.95" customHeight="1" x14ac:dyDescent="0.25">
      <c r="B129" s="485" t="e">
        <f>B124+1</f>
        <v>#REF!</v>
      </c>
      <c r="C129" s="283" t="s">
        <v>110</v>
      </c>
      <c r="D129" s="510">
        <v>3850</v>
      </c>
      <c r="E129" s="511">
        <v>3987</v>
      </c>
      <c r="F129" s="510">
        <v>3723.28</v>
      </c>
      <c r="G129" s="510">
        <f t="shared" ref="G129:G153" si="28">F129-E129</f>
        <v>-263.7199999999998</v>
      </c>
      <c r="H129" s="511">
        <v>3723.28</v>
      </c>
      <c r="I129" s="19" t="s">
        <v>95</v>
      </c>
      <c r="P129" s="511">
        <v>3723.28</v>
      </c>
      <c r="Q129" s="511">
        <v>3723.28</v>
      </c>
      <c r="R129" s="512"/>
      <c r="U129" s="287"/>
    </row>
    <row r="130" spans="2:21" s="35" customFormat="1" ht="21.95" customHeight="1" x14ac:dyDescent="0.25">
      <c r="B130" s="485" t="e">
        <f>B125+1</f>
        <v>#REF!</v>
      </c>
      <c r="C130" s="283" t="s">
        <v>111</v>
      </c>
      <c r="D130" s="510">
        <v>39789.839999999997</v>
      </c>
      <c r="E130" s="511">
        <v>39610</v>
      </c>
      <c r="F130" s="510">
        <v>39789.839999999997</v>
      </c>
      <c r="G130" s="510">
        <f t="shared" si="28"/>
        <v>179.83999999999651</v>
      </c>
      <c r="H130" s="511">
        <v>39789.839999999997</v>
      </c>
      <c r="I130" s="19" t="s">
        <v>95</v>
      </c>
      <c r="P130" s="511">
        <v>39789.839999999997</v>
      </c>
      <c r="Q130" s="511">
        <v>39789.839999999997</v>
      </c>
      <c r="R130" s="512"/>
      <c r="U130" s="287"/>
    </row>
    <row r="131" spans="2:21" s="35" customFormat="1" ht="21.95" customHeight="1" x14ac:dyDescent="0.25">
      <c r="B131" s="485" t="e">
        <f t="shared" ref="B131:B191" si="29">B127+1</f>
        <v>#REF!</v>
      </c>
      <c r="C131" s="283" t="s">
        <v>112</v>
      </c>
      <c r="D131" s="510">
        <v>20663.03</v>
      </c>
      <c r="E131" s="511">
        <v>20568</v>
      </c>
      <c r="F131" s="510">
        <v>20663.03</v>
      </c>
      <c r="G131" s="510">
        <f t="shared" si="28"/>
        <v>95.029999999998836</v>
      </c>
      <c r="H131" s="511">
        <v>20663.03</v>
      </c>
      <c r="I131" s="19" t="s">
        <v>95</v>
      </c>
      <c r="P131" s="511">
        <v>20663.03</v>
      </c>
      <c r="Q131" s="511">
        <v>20663.03</v>
      </c>
      <c r="R131" s="512"/>
      <c r="U131" s="287"/>
    </row>
    <row r="132" spans="2:21" s="35" customFormat="1" ht="21.95" customHeight="1" x14ac:dyDescent="0.25">
      <c r="B132" s="485" t="e">
        <f t="shared" si="29"/>
        <v>#REF!</v>
      </c>
      <c r="C132" s="283" t="s">
        <v>113</v>
      </c>
      <c r="D132" s="510">
        <v>1137.02</v>
      </c>
      <c r="E132" s="511">
        <v>2943</v>
      </c>
      <c r="F132" s="510">
        <v>2423.5700000000002</v>
      </c>
      <c r="G132" s="510">
        <f t="shared" si="28"/>
        <v>-519.42999999999984</v>
      </c>
      <c r="H132" s="511">
        <v>2423.5700000000002</v>
      </c>
      <c r="I132" s="19" t="s">
        <v>95</v>
      </c>
      <c r="P132" s="513">
        <v>2423.5700000000002</v>
      </c>
      <c r="Q132" s="513">
        <v>2423.5700000000002</v>
      </c>
      <c r="R132" s="514"/>
      <c r="U132" s="287"/>
    </row>
    <row r="133" spans="2:21" s="35" customFormat="1" ht="30.75" customHeight="1" x14ac:dyDescent="0.25">
      <c r="B133" s="485" t="e">
        <f t="shared" si="29"/>
        <v>#REF!</v>
      </c>
      <c r="C133" s="283" t="s">
        <v>114</v>
      </c>
      <c r="D133" s="510">
        <v>16880.78</v>
      </c>
      <c r="E133" s="511">
        <v>16804</v>
      </c>
      <c r="F133" s="510">
        <v>16880.78</v>
      </c>
      <c r="G133" s="510">
        <f t="shared" si="28"/>
        <v>76.779999999998836</v>
      </c>
      <c r="H133" s="511">
        <v>16880.78</v>
      </c>
      <c r="I133" s="19" t="s">
        <v>95</v>
      </c>
      <c r="P133" s="511">
        <v>16880.78</v>
      </c>
      <c r="Q133" s="511">
        <v>16880.78</v>
      </c>
      <c r="R133" s="512"/>
      <c r="U133" s="287"/>
    </row>
    <row r="134" spans="2:21" s="35" customFormat="1" ht="21.95" customHeight="1" x14ac:dyDescent="0.25">
      <c r="B134" s="485" t="e">
        <f t="shared" si="29"/>
        <v>#REF!</v>
      </c>
      <c r="C134" s="283" t="s">
        <v>115</v>
      </c>
      <c r="D134" s="510">
        <v>103.29</v>
      </c>
      <c r="E134" s="511">
        <v>103</v>
      </c>
      <c r="F134" s="510">
        <v>103.29</v>
      </c>
      <c r="G134" s="510">
        <f t="shared" si="28"/>
        <v>0.29000000000000625</v>
      </c>
      <c r="H134" s="511">
        <v>103.29</v>
      </c>
      <c r="I134" s="19" t="s">
        <v>95</v>
      </c>
      <c r="P134" s="511">
        <v>103.29</v>
      </c>
      <c r="Q134" s="511">
        <v>103.29</v>
      </c>
      <c r="R134" s="512"/>
      <c r="U134" s="287"/>
    </row>
    <row r="135" spans="2:21" s="35" customFormat="1" ht="21.95" customHeight="1" x14ac:dyDescent="0.25">
      <c r="B135" s="485" t="e">
        <f t="shared" si="29"/>
        <v>#REF!</v>
      </c>
      <c r="C135" s="283" t="s">
        <v>116</v>
      </c>
      <c r="D135" s="510">
        <v>51.65</v>
      </c>
      <c r="E135" s="511">
        <v>52</v>
      </c>
      <c r="F135" s="510">
        <v>51.65</v>
      </c>
      <c r="G135" s="510">
        <f t="shared" si="28"/>
        <v>-0.35000000000000142</v>
      </c>
      <c r="H135" s="511">
        <v>51.65</v>
      </c>
      <c r="I135" s="19" t="s">
        <v>95</v>
      </c>
      <c r="P135" s="511">
        <v>51.65</v>
      </c>
      <c r="Q135" s="511">
        <v>51.65</v>
      </c>
      <c r="R135" s="512"/>
      <c r="U135" s="287"/>
    </row>
    <row r="136" spans="2:21" s="35" customFormat="1" ht="21.95" customHeight="1" x14ac:dyDescent="0.25">
      <c r="B136" s="485" t="e">
        <f t="shared" si="29"/>
        <v>#REF!</v>
      </c>
      <c r="C136" s="283" t="s">
        <v>117</v>
      </c>
      <c r="D136" s="510">
        <v>51.65</v>
      </c>
      <c r="E136" s="511">
        <v>52</v>
      </c>
      <c r="F136" s="510">
        <v>51.65</v>
      </c>
      <c r="G136" s="510">
        <f t="shared" si="28"/>
        <v>-0.35000000000000142</v>
      </c>
      <c r="H136" s="511">
        <v>51.65</v>
      </c>
      <c r="I136" s="19" t="s">
        <v>95</v>
      </c>
      <c r="P136" s="511">
        <v>51.65</v>
      </c>
      <c r="Q136" s="511">
        <v>51.65</v>
      </c>
      <c r="R136" s="512"/>
      <c r="U136" s="287"/>
    </row>
    <row r="137" spans="2:21" s="35" customFormat="1" ht="21.95" customHeight="1" x14ac:dyDescent="0.25">
      <c r="B137" s="485" t="e">
        <f t="shared" si="29"/>
        <v>#REF!</v>
      </c>
      <c r="C137" s="283" t="s">
        <v>118</v>
      </c>
      <c r="D137" s="510">
        <v>129.13</v>
      </c>
      <c r="E137" s="511">
        <v>129</v>
      </c>
      <c r="F137" s="510">
        <v>129.13</v>
      </c>
      <c r="G137" s="510">
        <f t="shared" si="28"/>
        <v>0.12999999999999545</v>
      </c>
      <c r="H137" s="511">
        <v>129.13</v>
      </c>
      <c r="I137" s="19" t="s">
        <v>95</v>
      </c>
      <c r="P137" s="511">
        <v>129.13</v>
      </c>
      <c r="Q137" s="511">
        <v>129.13</v>
      </c>
      <c r="R137" s="512"/>
      <c r="U137" s="287"/>
    </row>
    <row r="138" spans="2:21" s="35" customFormat="1" ht="21.95" customHeight="1" x14ac:dyDescent="0.25">
      <c r="B138" s="485" t="e">
        <f t="shared" si="29"/>
        <v>#REF!</v>
      </c>
      <c r="C138" s="283" t="s">
        <v>119</v>
      </c>
      <c r="D138" s="510">
        <v>4488.3599999999997</v>
      </c>
      <c r="E138" s="511">
        <v>4500</v>
      </c>
      <c r="F138" s="510">
        <v>4488.3599999999997</v>
      </c>
      <c r="G138" s="510">
        <f t="shared" si="28"/>
        <v>-11.640000000000327</v>
      </c>
      <c r="H138" s="511">
        <v>4488.3599999999997</v>
      </c>
      <c r="I138" s="19" t="s">
        <v>95</v>
      </c>
      <c r="P138" s="511">
        <v>4488.3599999999997</v>
      </c>
      <c r="Q138" s="511">
        <v>4488.3599999999997</v>
      </c>
      <c r="R138" s="512"/>
      <c r="U138" s="287"/>
    </row>
    <row r="139" spans="2:21" s="35" customFormat="1" ht="21.95" customHeight="1" x14ac:dyDescent="0.25">
      <c r="B139" s="485" t="e">
        <f t="shared" si="29"/>
        <v>#REF!</v>
      </c>
      <c r="C139" s="283" t="s">
        <v>120</v>
      </c>
      <c r="D139" s="510">
        <v>129.13</v>
      </c>
      <c r="E139" s="511">
        <v>129</v>
      </c>
      <c r="F139" s="510">
        <v>129.13</v>
      </c>
      <c r="G139" s="510">
        <f t="shared" si="28"/>
        <v>0.12999999999999545</v>
      </c>
      <c r="H139" s="511">
        <v>129.13</v>
      </c>
      <c r="I139" s="19" t="s">
        <v>95</v>
      </c>
      <c r="P139" s="511">
        <v>129.13</v>
      </c>
      <c r="Q139" s="511">
        <v>129.13</v>
      </c>
      <c r="R139" s="512"/>
      <c r="U139" s="287"/>
    </row>
    <row r="140" spans="2:21" s="35" customFormat="1" ht="21.95" customHeight="1" x14ac:dyDescent="0.25">
      <c r="B140" s="485" t="e">
        <f t="shared" si="29"/>
        <v>#REF!</v>
      </c>
      <c r="C140" s="283" t="s">
        <v>121</v>
      </c>
      <c r="D140" s="510">
        <v>129.13</v>
      </c>
      <c r="E140" s="511">
        <v>129</v>
      </c>
      <c r="F140" s="510">
        <v>129.13</v>
      </c>
      <c r="G140" s="510">
        <f t="shared" si="28"/>
        <v>0.12999999999999545</v>
      </c>
      <c r="H140" s="511">
        <v>129.13</v>
      </c>
      <c r="I140" s="19" t="s">
        <v>95</v>
      </c>
      <c r="P140" s="511">
        <v>129.13</v>
      </c>
      <c r="Q140" s="511">
        <v>129.13</v>
      </c>
      <c r="R140" s="512"/>
      <c r="U140" s="287"/>
    </row>
    <row r="141" spans="2:21" s="35" customFormat="1" ht="21.95" customHeight="1" x14ac:dyDescent="0.25">
      <c r="B141" s="485" t="e">
        <f t="shared" si="29"/>
        <v>#REF!</v>
      </c>
      <c r="C141" s="283" t="s">
        <v>122</v>
      </c>
      <c r="D141" s="510">
        <v>129.11000000000001</v>
      </c>
      <c r="E141" s="511">
        <v>129</v>
      </c>
      <c r="F141" s="510">
        <v>129.11000000000001</v>
      </c>
      <c r="G141" s="510">
        <f t="shared" si="28"/>
        <v>0.11000000000001364</v>
      </c>
      <c r="H141" s="511">
        <v>129.11000000000001</v>
      </c>
      <c r="I141" s="19" t="s">
        <v>95</v>
      </c>
      <c r="P141" s="511">
        <v>129.11000000000001</v>
      </c>
      <c r="Q141" s="511">
        <v>129.11000000000001</v>
      </c>
      <c r="R141" s="512"/>
      <c r="U141" s="287"/>
    </row>
    <row r="142" spans="2:21" s="35" customFormat="1" ht="21.95" customHeight="1" x14ac:dyDescent="0.25">
      <c r="B142" s="485" t="e">
        <f t="shared" si="29"/>
        <v>#REF!</v>
      </c>
      <c r="C142" s="283" t="s">
        <v>123</v>
      </c>
      <c r="D142" s="510">
        <v>129.11000000000001</v>
      </c>
      <c r="E142" s="511">
        <v>129</v>
      </c>
      <c r="F142" s="510">
        <v>129.11000000000001</v>
      </c>
      <c r="G142" s="510">
        <f t="shared" si="28"/>
        <v>0.11000000000001364</v>
      </c>
      <c r="H142" s="511">
        <v>129.11000000000001</v>
      </c>
      <c r="I142" s="19" t="s">
        <v>95</v>
      </c>
      <c r="P142" s="511">
        <v>129.11000000000001</v>
      </c>
      <c r="Q142" s="511">
        <v>129.11000000000001</v>
      </c>
      <c r="R142" s="512"/>
      <c r="U142" s="287"/>
    </row>
    <row r="143" spans="2:21" s="35" customFormat="1" ht="21.95" customHeight="1" x14ac:dyDescent="0.25">
      <c r="B143" s="485" t="e">
        <f t="shared" si="29"/>
        <v>#REF!</v>
      </c>
      <c r="C143" s="283" t="s">
        <v>124</v>
      </c>
      <c r="D143" s="510">
        <v>1991.4699999999998</v>
      </c>
      <c r="E143" s="511">
        <v>2997</v>
      </c>
      <c r="F143" s="510">
        <v>2007.23</v>
      </c>
      <c r="G143" s="510">
        <f t="shared" si="28"/>
        <v>-989.77</v>
      </c>
      <c r="H143" s="511">
        <v>2007.23</v>
      </c>
      <c r="I143" s="19" t="s">
        <v>95</v>
      </c>
      <c r="P143" s="513">
        <v>2007.23</v>
      </c>
      <c r="Q143" s="513">
        <v>2007.23</v>
      </c>
      <c r="R143" s="514"/>
      <c r="U143" s="287"/>
    </row>
    <row r="144" spans="2:21" s="35" customFormat="1" ht="21.95" customHeight="1" x14ac:dyDescent="0.25">
      <c r="B144" s="485" t="e">
        <f t="shared" si="29"/>
        <v>#REF!</v>
      </c>
      <c r="C144" s="283" t="s">
        <v>125</v>
      </c>
      <c r="D144" s="510">
        <v>10224.619999999999</v>
      </c>
      <c r="E144" s="511">
        <v>35371</v>
      </c>
      <c r="F144" s="510">
        <v>18693.62</v>
      </c>
      <c r="G144" s="510">
        <f t="shared" si="28"/>
        <v>-16677.38</v>
      </c>
      <c r="H144" s="511">
        <v>18693.62</v>
      </c>
      <c r="I144" s="19" t="s">
        <v>95</v>
      </c>
      <c r="P144" s="513">
        <v>18693.62</v>
      </c>
      <c r="Q144" s="513">
        <v>18693.62</v>
      </c>
      <c r="R144" s="514"/>
      <c r="U144" s="287"/>
    </row>
    <row r="145" spans="2:22" s="35" customFormat="1" ht="21.95" customHeight="1" x14ac:dyDescent="0.25">
      <c r="B145" s="485" t="e">
        <f t="shared" si="29"/>
        <v>#REF!</v>
      </c>
      <c r="C145" s="283" t="s">
        <v>127</v>
      </c>
      <c r="D145" s="510">
        <v>1947.8899999999999</v>
      </c>
      <c r="E145" s="511">
        <v>1853</v>
      </c>
      <c r="F145" s="510">
        <v>1216.3699999999999</v>
      </c>
      <c r="G145" s="510">
        <f t="shared" si="28"/>
        <v>-636.63000000000011</v>
      </c>
      <c r="H145" s="511">
        <v>1216.3699999999999</v>
      </c>
      <c r="I145" s="19" t="s">
        <v>95</v>
      </c>
      <c r="P145" s="511">
        <v>1216.3699999999999</v>
      </c>
      <c r="Q145" s="511">
        <v>1216.3699999999999</v>
      </c>
      <c r="R145" s="512"/>
      <c r="U145" s="287"/>
    </row>
    <row r="146" spans="2:22" s="35" customFormat="1" ht="21.95" customHeight="1" x14ac:dyDescent="0.25">
      <c r="B146" s="485" t="e">
        <f t="shared" si="29"/>
        <v>#REF!</v>
      </c>
      <c r="C146" s="283" t="s">
        <v>128</v>
      </c>
      <c r="D146" s="510">
        <v>2001.6100000000001</v>
      </c>
      <c r="E146" s="511">
        <v>1844</v>
      </c>
      <c r="F146" s="510">
        <v>1250.23</v>
      </c>
      <c r="G146" s="510">
        <f t="shared" si="28"/>
        <v>-593.77</v>
      </c>
      <c r="H146" s="511">
        <v>1250.23</v>
      </c>
      <c r="I146" s="19" t="s">
        <v>95</v>
      </c>
      <c r="P146" s="511">
        <v>1250.23</v>
      </c>
      <c r="Q146" s="511">
        <v>1250.23</v>
      </c>
      <c r="R146" s="512"/>
      <c r="U146" s="287"/>
    </row>
    <row r="147" spans="2:22" s="35" customFormat="1" ht="21.95" customHeight="1" x14ac:dyDescent="0.25">
      <c r="B147" s="485" t="e">
        <f t="shared" si="29"/>
        <v>#REF!</v>
      </c>
      <c r="C147" s="283" t="s">
        <v>129</v>
      </c>
      <c r="D147" s="510">
        <v>3403.57</v>
      </c>
      <c r="E147" s="511">
        <v>2474</v>
      </c>
      <c r="F147" s="510">
        <v>2396.4899999999998</v>
      </c>
      <c r="G147" s="510">
        <f t="shared" si="28"/>
        <v>-77.510000000000218</v>
      </c>
      <c r="H147" s="511">
        <v>2396.4899999999998</v>
      </c>
      <c r="I147" s="19" t="s">
        <v>95</v>
      </c>
      <c r="P147" s="511">
        <v>2396.4899999999998</v>
      </c>
      <c r="Q147" s="511">
        <v>2396.4899999999998</v>
      </c>
      <c r="R147" s="512"/>
      <c r="U147" s="287"/>
    </row>
    <row r="148" spans="2:22" s="35" customFormat="1" ht="21.95" customHeight="1" x14ac:dyDescent="0.25">
      <c r="B148" s="485" t="e">
        <f t="shared" si="29"/>
        <v>#REF!</v>
      </c>
      <c r="C148" s="283" t="s">
        <v>126</v>
      </c>
      <c r="D148" s="510">
        <v>734</v>
      </c>
      <c r="E148" s="511">
        <v>766</v>
      </c>
      <c r="F148" s="510">
        <v>702.11</v>
      </c>
      <c r="G148" s="510">
        <f t="shared" si="28"/>
        <v>-63.889999999999986</v>
      </c>
      <c r="H148" s="511">
        <v>702.11</v>
      </c>
      <c r="I148" s="19" t="s">
        <v>95</v>
      </c>
      <c r="P148" s="511">
        <v>702.11</v>
      </c>
      <c r="Q148" s="511">
        <v>702.11</v>
      </c>
      <c r="R148" s="512"/>
      <c r="U148" s="287"/>
    </row>
    <row r="149" spans="2:22" s="35" customFormat="1" ht="21.95" customHeight="1" x14ac:dyDescent="0.25">
      <c r="B149" s="485" t="e">
        <f t="shared" si="29"/>
        <v>#REF!</v>
      </c>
      <c r="C149" s="283" t="s">
        <v>130</v>
      </c>
      <c r="D149" s="510">
        <v>6041</v>
      </c>
      <c r="E149" s="511">
        <v>7797</v>
      </c>
      <c r="F149" s="510">
        <v>6036.8</v>
      </c>
      <c r="G149" s="510">
        <f t="shared" si="28"/>
        <v>-1760.1999999999998</v>
      </c>
      <c r="H149" s="511">
        <v>6036.8</v>
      </c>
      <c r="I149" s="19" t="s">
        <v>95</v>
      </c>
      <c r="P149" s="511">
        <v>6036.8</v>
      </c>
      <c r="Q149" s="511">
        <v>6036.8</v>
      </c>
      <c r="R149" s="512"/>
      <c r="U149" s="287"/>
    </row>
    <row r="150" spans="2:22" s="35" customFormat="1" ht="21.95" customHeight="1" x14ac:dyDescent="0.25">
      <c r="B150" s="485" t="e">
        <f t="shared" si="29"/>
        <v>#REF!</v>
      </c>
      <c r="C150" s="283" t="s">
        <v>131</v>
      </c>
      <c r="D150" s="510">
        <v>69</v>
      </c>
      <c r="E150" s="511">
        <v>69</v>
      </c>
      <c r="F150" s="510">
        <v>69</v>
      </c>
      <c r="G150" s="510">
        <f t="shared" si="28"/>
        <v>0</v>
      </c>
      <c r="H150" s="511">
        <v>69</v>
      </c>
      <c r="I150" s="19" t="s">
        <v>95</v>
      </c>
      <c r="P150" s="511">
        <v>69</v>
      </c>
      <c r="Q150" s="511">
        <v>69</v>
      </c>
      <c r="R150" s="512"/>
      <c r="U150" s="287"/>
    </row>
    <row r="151" spans="2:22" s="35" customFormat="1" ht="21.95" customHeight="1" x14ac:dyDescent="0.25">
      <c r="B151" s="485" t="e">
        <f t="shared" si="29"/>
        <v>#REF!</v>
      </c>
      <c r="C151" s="283" t="s">
        <v>132</v>
      </c>
      <c r="D151" s="510">
        <v>68.989999999999995</v>
      </c>
      <c r="E151" s="511">
        <v>69</v>
      </c>
      <c r="F151" s="510">
        <v>68.989999999999995</v>
      </c>
      <c r="G151" s="510">
        <f t="shared" si="28"/>
        <v>-1.0000000000005116E-2</v>
      </c>
      <c r="H151" s="511">
        <v>68.989999999999995</v>
      </c>
      <c r="I151" s="19" t="s">
        <v>95</v>
      </c>
      <c r="P151" s="511">
        <v>68.989999999999995</v>
      </c>
      <c r="Q151" s="511">
        <v>68.989999999999995</v>
      </c>
      <c r="R151" s="512"/>
      <c r="U151" s="287"/>
    </row>
    <row r="152" spans="2:22" s="35" customFormat="1" ht="21.95" customHeight="1" x14ac:dyDescent="0.25">
      <c r="B152" s="485" t="e">
        <f t="shared" si="29"/>
        <v>#REF!</v>
      </c>
      <c r="C152" s="283" t="s">
        <v>133</v>
      </c>
      <c r="D152" s="510">
        <v>1585.03</v>
      </c>
      <c r="E152" s="511">
        <v>1594</v>
      </c>
      <c r="F152" s="510">
        <v>1585.03</v>
      </c>
      <c r="G152" s="510">
        <f t="shared" si="28"/>
        <v>-8.9700000000000273</v>
      </c>
      <c r="H152" s="511">
        <v>1585.03</v>
      </c>
      <c r="I152" s="19" t="s">
        <v>95</v>
      </c>
      <c r="P152" s="513">
        <v>1585.03</v>
      </c>
      <c r="Q152" s="513">
        <v>1585.03</v>
      </c>
      <c r="R152" s="514"/>
      <c r="U152" s="287"/>
    </row>
    <row r="153" spans="2:22" s="35" customFormat="1" ht="21.95" customHeight="1" x14ac:dyDescent="0.25">
      <c r="B153" s="485"/>
      <c r="C153" s="283" t="s">
        <v>759</v>
      </c>
      <c r="D153" s="510">
        <v>250</v>
      </c>
      <c r="E153" s="511">
        <v>0</v>
      </c>
      <c r="F153" s="510">
        <v>343.61</v>
      </c>
      <c r="G153" s="510">
        <f t="shared" si="28"/>
        <v>343.61</v>
      </c>
      <c r="H153" s="511">
        <v>343.61</v>
      </c>
      <c r="I153" s="19" t="s">
        <v>95</v>
      </c>
      <c r="P153" s="511">
        <v>343.61</v>
      </c>
      <c r="Q153" s="511">
        <v>343.61</v>
      </c>
      <c r="R153" s="512"/>
      <c r="U153" s="287"/>
    </row>
    <row r="154" spans="2:22" s="458" customFormat="1" ht="21.95" customHeight="1" x14ac:dyDescent="0.25">
      <c r="B154" s="268" t="e">
        <f>B149+1</f>
        <v>#REF!</v>
      </c>
      <c r="C154" s="498" t="s">
        <v>134</v>
      </c>
      <c r="D154" s="507">
        <v>116578.41</v>
      </c>
      <c r="E154" s="508">
        <f>SUM(E128:E153)</f>
        <v>144698</v>
      </c>
      <c r="F154" s="507">
        <f>SUM(F128:F153)</f>
        <v>123790.54</v>
      </c>
      <c r="G154" s="507">
        <f>F154-E154</f>
        <v>-20907.460000000006</v>
      </c>
      <c r="H154" s="507"/>
      <c r="I154" s="353" t="s">
        <v>95</v>
      </c>
      <c r="J154" s="523"/>
      <c r="K154" s="523"/>
      <c r="L154" s="523"/>
      <c r="M154" s="523"/>
      <c r="N154" s="534">
        <f>SUM(H128:H153)</f>
        <v>123790.54</v>
      </c>
      <c r="P154" s="507">
        <f>SUM(P128:P153)</f>
        <v>123790.54</v>
      </c>
      <c r="Q154" s="507">
        <f>SUM(Q128:Q153)</f>
        <v>123790.54</v>
      </c>
      <c r="R154" s="509"/>
      <c r="U154" s="459"/>
    </row>
    <row r="155" spans="2:22" s="458" customFormat="1" ht="21.95" customHeight="1" x14ac:dyDescent="0.25">
      <c r="B155" s="268" t="e">
        <f>B150+1</f>
        <v>#REF!</v>
      </c>
      <c r="C155" s="295" t="s">
        <v>760</v>
      </c>
      <c r="D155" s="296">
        <v>13974.2</v>
      </c>
      <c r="E155" s="297">
        <v>10104</v>
      </c>
      <c r="F155" s="296">
        <v>8624.2000000000007</v>
      </c>
      <c r="G155" s="296">
        <f>F155-E155</f>
        <v>-1479.7999999999993</v>
      </c>
      <c r="H155" s="298">
        <v>25000</v>
      </c>
      <c r="I155" s="299" t="s">
        <v>95</v>
      </c>
      <c r="J155" s="299"/>
      <c r="K155" s="299"/>
      <c r="L155" s="299"/>
      <c r="M155" s="299"/>
      <c r="N155" s="299"/>
      <c r="O155" s="299"/>
      <c r="P155" s="298">
        <f>H155</f>
        <v>25000</v>
      </c>
      <c r="Q155" s="296"/>
      <c r="R155" s="300"/>
      <c r="S155" s="458" t="s">
        <v>761</v>
      </c>
      <c r="U155" s="495">
        <v>8624</v>
      </c>
    </row>
    <row r="156" spans="2:22" s="458" customFormat="1" ht="21.95" customHeight="1" x14ac:dyDescent="0.25">
      <c r="B156" s="540" t="e">
        <f>B151+1</f>
        <v>#REF!</v>
      </c>
      <c r="C156" s="541" t="s">
        <v>135</v>
      </c>
      <c r="D156" s="537">
        <v>0</v>
      </c>
      <c r="E156" s="538">
        <v>12600</v>
      </c>
      <c r="F156" s="537">
        <v>0</v>
      </c>
      <c r="G156" s="537">
        <f t="shared" ref="G156:G178" si="30">F156-E156</f>
        <v>-12600</v>
      </c>
      <c r="H156" s="537">
        <f t="shared" ref="H156:H176" si="31">F156</f>
        <v>0</v>
      </c>
      <c r="I156" s="19" t="s">
        <v>95</v>
      </c>
      <c r="P156" s="296">
        <f t="shared" ref="P156:P178" si="32">H156</f>
        <v>0</v>
      </c>
      <c r="Q156" s="296">
        <f t="shared" ref="Q156:Q178" si="33">M156</f>
        <v>0</v>
      </c>
      <c r="R156" s="300"/>
      <c r="U156" s="459"/>
    </row>
    <row r="157" spans="2:22" s="458" customFormat="1" ht="21.95" customHeight="1" x14ac:dyDescent="0.25">
      <c r="B157" s="540" t="e">
        <f>B152+1</f>
        <v>#REF!</v>
      </c>
      <c r="C157" s="536" t="s">
        <v>762</v>
      </c>
      <c r="D157" s="537">
        <v>20008.39</v>
      </c>
      <c r="E157" s="538">
        <v>8384</v>
      </c>
      <c r="F157" s="537">
        <v>19508.39</v>
      </c>
      <c r="G157" s="537">
        <f t="shared" si="30"/>
        <v>11124.39</v>
      </c>
      <c r="H157" s="539">
        <v>50000</v>
      </c>
      <c r="I157" s="299"/>
      <c r="J157" s="299"/>
      <c r="K157" s="299"/>
      <c r="L157" s="299"/>
      <c r="M157" s="299"/>
      <c r="N157" s="299"/>
      <c r="O157" s="299"/>
      <c r="P157" s="298">
        <v>100000</v>
      </c>
      <c r="Q157" s="298">
        <v>100000</v>
      </c>
      <c r="R157" s="300"/>
      <c r="S157" s="458" t="s">
        <v>763</v>
      </c>
      <c r="U157" s="502">
        <v>100000</v>
      </c>
      <c r="V157" s="458" t="s">
        <v>764</v>
      </c>
    </row>
    <row r="158" spans="2:22" s="458" customFormat="1" ht="32.25" customHeight="1" x14ac:dyDescent="0.25">
      <c r="B158" s="540" t="e">
        <f t="shared" si="29"/>
        <v>#REF!</v>
      </c>
      <c r="C158" s="536" t="s">
        <v>765</v>
      </c>
      <c r="D158" s="537">
        <v>6561.2800000000007</v>
      </c>
      <c r="E158" s="538">
        <v>7216</v>
      </c>
      <c r="F158" s="537">
        <v>7329.48</v>
      </c>
      <c r="G158" s="537">
        <f t="shared" si="30"/>
        <v>113.47999999999956</v>
      </c>
      <c r="H158" s="539">
        <v>20000</v>
      </c>
      <c r="I158" s="299" t="s">
        <v>95</v>
      </c>
      <c r="J158" s="299"/>
      <c r="K158" s="299"/>
      <c r="L158" s="299"/>
      <c r="M158" s="299"/>
      <c r="N158" s="299"/>
      <c r="O158" s="299"/>
      <c r="P158" s="298">
        <v>20000</v>
      </c>
      <c r="Q158" s="298">
        <f>H158</f>
        <v>20000</v>
      </c>
      <c r="R158" s="300"/>
      <c r="S158" s="458" t="s">
        <v>766</v>
      </c>
      <c r="U158" s="459"/>
    </row>
    <row r="159" spans="2:22" s="458" customFormat="1" ht="21.95" customHeight="1" x14ac:dyDescent="0.25">
      <c r="B159" s="540" t="e">
        <f t="shared" si="29"/>
        <v>#REF!</v>
      </c>
      <c r="C159" s="541" t="s">
        <v>767</v>
      </c>
      <c r="D159" s="537">
        <v>0</v>
      </c>
      <c r="E159" s="538">
        <v>0</v>
      </c>
      <c r="F159" s="537">
        <v>0</v>
      </c>
      <c r="G159" s="537">
        <f t="shared" si="30"/>
        <v>0</v>
      </c>
      <c r="H159" s="537">
        <f t="shared" si="31"/>
        <v>0</v>
      </c>
      <c r="I159" s="19" t="s">
        <v>95</v>
      </c>
      <c r="P159" s="296">
        <f t="shared" si="32"/>
        <v>0</v>
      </c>
      <c r="Q159" s="296">
        <f t="shared" si="33"/>
        <v>0</v>
      </c>
      <c r="R159" s="300"/>
      <c r="U159" s="459"/>
    </row>
    <row r="160" spans="2:22" s="458" customFormat="1" ht="39" customHeight="1" x14ac:dyDescent="0.25">
      <c r="B160" s="540" t="e">
        <f t="shared" si="29"/>
        <v>#REF!</v>
      </c>
      <c r="C160" s="541" t="s">
        <v>136</v>
      </c>
      <c r="D160" s="537">
        <v>0</v>
      </c>
      <c r="E160" s="538">
        <v>3895</v>
      </c>
      <c r="F160" s="537">
        <v>0</v>
      </c>
      <c r="G160" s="537">
        <f t="shared" si="30"/>
        <v>-3895</v>
      </c>
      <c r="H160" s="537">
        <f t="shared" si="31"/>
        <v>0</v>
      </c>
      <c r="I160" s="19" t="s">
        <v>95</v>
      </c>
      <c r="P160" s="296">
        <f t="shared" si="32"/>
        <v>0</v>
      </c>
      <c r="Q160" s="296">
        <f t="shared" si="33"/>
        <v>0</v>
      </c>
      <c r="R160" s="300"/>
      <c r="U160" s="459"/>
    </row>
    <row r="161" spans="2:21" s="458" customFormat="1" ht="21.95" customHeight="1" x14ac:dyDescent="0.25">
      <c r="B161" s="540" t="e">
        <f t="shared" si="29"/>
        <v>#REF!</v>
      </c>
      <c r="C161" s="541" t="s">
        <v>768</v>
      </c>
      <c r="D161" s="537">
        <v>1800</v>
      </c>
      <c r="E161" s="538">
        <v>0</v>
      </c>
      <c r="F161" s="537">
        <v>1800</v>
      </c>
      <c r="G161" s="537">
        <f t="shared" si="30"/>
        <v>1800</v>
      </c>
      <c r="H161" s="537"/>
      <c r="I161" s="19" t="s">
        <v>95</v>
      </c>
      <c r="P161" s="296">
        <f t="shared" si="32"/>
        <v>0</v>
      </c>
      <c r="Q161" s="296">
        <f>H161</f>
        <v>0</v>
      </c>
      <c r="R161" s="300"/>
      <c r="U161" s="459"/>
    </row>
    <row r="162" spans="2:21" s="458" customFormat="1" ht="21.95" customHeight="1" x14ac:dyDescent="0.25">
      <c r="B162" s="540" t="e">
        <f t="shared" si="29"/>
        <v>#REF!</v>
      </c>
      <c r="C162" s="541" t="s">
        <v>137</v>
      </c>
      <c r="D162" s="537">
        <v>1000</v>
      </c>
      <c r="E162" s="538">
        <v>3286</v>
      </c>
      <c r="F162" s="537">
        <v>2058</v>
      </c>
      <c r="G162" s="537">
        <f t="shared" si="30"/>
        <v>-1228</v>
      </c>
      <c r="H162" s="537">
        <f t="shared" si="31"/>
        <v>2058</v>
      </c>
      <c r="I162" s="19" t="s">
        <v>95</v>
      </c>
      <c r="P162" s="296">
        <f t="shared" si="32"/>
        <v>2058</v>
      </c>
      <c r="Q162" s="296">
        <f>H162</f>
        <v>2058</v>
      </c>
      <c r="R162" s="300"/>
      <c r="S162" s="458" t="s">
        <v>758</v>
      </c>
      <c r="U162" s="459"/>
    </row>
    <row r="163" spans="2:21" s="458" customFormat="1" ht="21.95" customHeight="1" x14ac:dyDescent="0.25">
      <c r="B163" s="540" t="e">
        <f t="shared" si="29"/>
        <v>#REF!</v>
      </c>
      <c r="C163" s="541" t="s">
        <v>138</v>
      </c>
      <c r="D163" s="537">
        <v>10439.01</v>
      </c>
      <c r="E163" s="538">
        <v>8119</v>
      </c>
      <c r="F163" s="537">
        <v>5139.01</v>
      </c>
      <c r="G163" s="537">
        <f t="shared" si="30"/>
        <v>-2979.99</v>
      </c>
      <c r="H163" s="537"/>
      <c r="I163" s="19" t="s">
        <v>95</v>
      </c>
      <c r="P163" s="296"/>
      <c r="Q163" s="296"/>
      <c r="R163" s="300"/>
      <c r="U163" s="459"/>
    </row>
    <row r="164" spans="2:21" s="458" customFormat="1" ht="21.95" customHeight="1" x14ac:dyDescent="0.25">
      <c r="B164" s="540" t="e">
        <f t="shared" si="29"/>
        <v>#REF!</v>
      </c>
      <c r="C164" s="541" t="s">
        <v>139</v>
      </c>
      <c r="D164" s="537">
        <v>856.2</v>
      </c>
      <c r="E164" s="538">
        <v>96926</v>
      </c>
      <c r="F164" s="537">
        <v>60606.2</v>
      </c>
      <c r="G164" s="537">
        <f t="shared" si="30"/>
        <v>-36319.800000000003</v>
      </c>
      <c r="H164" s="537"/>
      <c r="I164" s="19" t="s">
        <v>95</v>
      </c>
      <c r="P164" s="296">
        <f t="shared" si="32"/>
        <v>0</v>
      </c>
      <c r="Q164" s="296"/>
      <c r="R164" s="300"/>
      <c r="U164" s="459"/>
    </row>
    <row r="165" spans="2:21" s="458" customFormat="1" ht="31.5" customHeight="1" x14ac:dyDescent="0.25">
      <c r="B165" s="540" t="e">
        <f t="shared" si="29"/>
        <v>#REF!</v>
      </c>
      <c r="C165" s="536" t="s">
        <v>769</v>
      </c>
      <c r="D165" s="537">
        <v>4396.5</v>
      </c>
      <c r="E165" s="538">
        <v>42807</v>
      </c>
      <c r="F165" s="537">
        <v>7494.7</v>
      </c>
      <c r="G165" s="537">
        <f t="shared" si="30"/>
        <v>-35312.300000000003</v>
      </c>
      <c r="H165" s="539">
        <v>20000</v>
      </c>
      <c r="I165" s="299" t="s">
        <v>95</v>
      </c>
      <c r="J165" s="299"/>
      <c r="K165" s="299"/>
      <c r="L165" s="299"/>
      <c r="M165" s="299"/>
      <c r="N165" s="299"/>
      <c r="O165" s="299"/>
      <c r="P165" s="298">
        <v>20000</v>
      </c>
      <c r="Q165" s="298">
        <v>20000</v>
      </c>
      <c r="R165" s="300"/>
      <c r="S165" s="458" t="s">
        <v>742</v>
      </c>
      <c r="U165" s="459"/>
    </row>
    <row r="166" spans="2:21" s="458" customFormat="1" ht="40.5" customHeight="1" x14ac:dyDescent="0.25">
      <c r="B166" s="540" t="e">
        <f t="shared" si="29"/>
        <v>#REF!</v>
      </c>
      <c r="C166" s="536" t="s">
        <v>770</v>
      </c>
      <c r="D166" s="537">
        <v>13782.810000000001</v>
      </c>
      <c r="E166" s="538">
        <v>10834</v>
      </c>
      <c r="F166" s="537">
        <v>21796.65</v>
      </c>
      <c r="G166" s="537">
        <f t="shared" si="30"/>
        <v>10962.650000000001</v>
      </c>
      <c r="H166" s="539">
        <v>20000</v>
      </c>
      <c r="I166" s="299" t="s">
        <v>95</v>
      </c>
      <c r="J166" s="299"/>
      <c r="K166" s="299"/>
      <c r="L166" s="299"/>
      <c r="M166" s="299"/>
      <c r="N166" s="299"/>
      <c r="O166" s="299"/>
      <c r="P166" s="298">
        <v>20000</v>
      </c>
      <c r="Q166" s="298">
        <v>20000</v>
      </c>
      <c r="R166" s="300"/>
      <c r="U166" s="459"/>
    </row>
    <row r="167" spans="2:21" s="458" customFormat="1" ht="21.95" customHeight="1" x14ac:dyDescent="0.25">
      <c r="B167" s="540" t="e">
        <f t="shared" si="29"/>
        <v>#REF!</v>
      </c>
      <c r="C167" s="541" t="s">
        <v>140</v>
      </c>
      <c r="D167" s="537">
        <v>12819.07</v>
      </c>
      <c r="E167" s="538">
        <v>25197</v>
      </c>
      <c r="F167" s="537">
        <v>21365.47</v>
      </c>
      <c r="G167" s="537">
        <f t="shared" si="30"/>
        <v>-3831.5299999999988</v>
      </c>
      <c r="H167" s="537">
        <f t="shared" si="31"/>
        <v>21365.47</v>
      </c>
      <c r="I167" s="19" t="s">
        <v>95</v>
      </c>
      <c r="P167" s="296">
        <f t="shared" si="32"/>
        <v>21365.47</v>
      </c>
      <c r="Q167" s="296">
        <f>H167</f>
        <v>21365.47</v>
      </c>
      <c r="R167" s="300"/>
      <c r="S167" s="458" t="s">
        <v>771</v>
      </c>
      <c r="U167" s="459"/>
    </row>
    <row r="168" spans="2:21" s="458" customFormat="1" ht="45.75" customHeight="1" x14ac:dyDescent="0.25">
      <c r="B168" s="540" t="e">
        <f t="shared" si="29"/>
        <v>#REF!</v>
      </c>
      <c r="C168" s="536" t="s">
        <v>772</v>
      </c>
      <c r="D168" s="537">
        <v>325538.44</v>
      </c>
      <c r="E168" s="538">
        <v>386645</v>
      </c>
      <c r="F168" s="537">
        <v>145425.72</v>
      </c>
      <c r="G168" s="537">
        <f t="shared" si="30"/>
        <v>-241219.28</v>
      </c>
      <c r="H168" s="539">
        <f>238000-100000</f>
        <v>138000</v>
      </c>
      <c r="I168" s="299" t="s">
        <v>95</v>
      </c>
      <c r="J168" s="299"/>
      <c r="K168" s="299"/>
      <c r="L168" s="299"/>
      <c r="M168" s="299"/>
      <c r="N168" s="299"/>
      <c r="O168" s="299"/>
      <c r="P168" s="298">
        <f>125000</f>
        <v>125000</v>
      </c>
      <c r="Q168" s="298">
        <v>125000</v>
      </c>
      <c r="R168" s="300"/>
      <c r="S168" s="458" t="s">
        <v>773</v>
      </c>
      <c r="U168" s="459"/>
    </row>
    <row r="169" spans="2:21" s="459" customFormat="1" ht="40.5" customHeight="1" x14ac:dyDescent="0.25">
      <c r="B169" s="540"/>
      <c r="C169" s="536" t="s">
        <v>774</v>
      </c>
      <c r="D169" s="537"/>
      <c r="E169" s="538"/>
      <c r="F169" s="537">
        <v>5215.62</v>
      </c>
      <c r="G169" s="537">
        <f t="shared" si="30"/>
        <v>5215.62</v>
      </c>
      <c r="H169" s="539">
        <v>20000</v>
      </c>
      <c r="I169" s="299" t="s">
        <v>95</v>
      </c>
      <c r="J169" s="299"/>
      <c r="K169" s="299"/>
      <c r="L169" s="299"/>
      <c r="M169" s="299"/>
      <c r="N169" s="299"/>
      <c r="O169" s="299"/>
      <c r="P169" s="298">
        <v>0</v>
      </c>
      <c r="Q169" s="298">
        <v>0</v>
      </c>
      <c r="R169" s="300"/>
      <c r="S169" s="458"/>
      <c r="T169" s="458"/>
    </row>
    <row r="170" spans="2:21" s="459" customFormat="1" ht="30.75" customHeight="1" x14ac:dyDescent="0.25">
      <c r="B170" s="540"/>
      <c r="C170" s="536" t="s">
        <v>775</v>
      </c>
      <c r="D170" s="537"/>
      <c r="E170" s="538"/>
      <c r="F170" s="537"/>
      <c r="G170" s="537"/>
      <c r="H170" s="539">
        <v>22500</v>
      </c>
      <c r="I170" s="299"/>
      <c r="J170" s="299"/>
      <c r="K170" s="299"/>
      <c r="L170" s="299"/>
      <c r="M170" s="299"/>
      <c r="N170" s="299"/>
      <c r="O170" s="299"/>
      <c r="P170" s="298">
        <v>0</v>
      </c>
      <c r="Q170" s="298">
        <v>0</v>
      </c>
      <c r="R170" s="300"/>
      <c r="S170" s="458"/>
      <c r="T170" s="458"/>
    </row>
    <row r="171" spans="2:21" s="459" customFormat="1" ht="40.5" customHeight="1" x14ac:dyDescent="0.25">
      <c r="B171" s="540" t="e">
        <f>B165+1</f>
        <v>#REF!</v>
      </c>
      <c r="C171" s="541" t="s">
        <v>141</v>
      </c>
      <c r="D171" s="537">
        <v>0</v>
      </c>
      <c r="E171" s="538">
        <v>8522</v>
      </c>
      <c r="F171" s="537">
        <v>0</v>
      </c>
      <c r="G171" s="537">
        <f t="shared" si="30"/>
        <v>-8522</v>
      </c>
      <c r="H171" s="537">
        <f t="shared" si="31"/>
        <v>0</v>
      </c>
      <c r="I171" s="19" t="s">
        <v>95</v>
      </c>
      <c r="J171" s="458"/>
      <c r="K171" s="458"/>
      <c r="L171" s="458"/>
      <c r="M171" s="458"/>
      <c r="N171" s="458"/>
      <c r="O171" s="458"/>
      <c r="P171" s="296">
        <f t="shared" si="32"/>
        <v>0</v>
      </c>
      <c r="Q171" s="296">
        <f t="shared" si="33"/>
        <v>0</v>
      </c>
      <c r="R171" s="300"/>
      <c r="S171" s="458"/>
      <c r="T171" s="458"/>
    </row>
    <row r="172" spans="2:21" s="459" customFormat="1" ht="21.95" customHeight="1" x14ac:dyDescent="0.25">
      <c r="B172" s="540" t="e">
        <f>B166+1</f>
        <v>#REF!</v>
      </c>
      <c r="C172" s="541" t="s">
        <v>776</v>
      </c>
      <c r="D172" s="537">
        <v>0</v>
      </c>
      <c r="E172" s="538">
        <v>0</v>
      </c>
      <c r="F172" s="537">
        <v>0</v>
      </c>
      <c r="G172" s="537">
        <f t="shared" si="30"/>
        <v>0</v>
      </c>
      <c r="H172" s="537">
        <f t="shared" si="31"/>
        <v>0</v>
      </c>
      <c r="I172" s="19" t="s">
        <v>95</v>
      </c>
      <c r="J172" s="458"/>
      <c r="K172" s="458"/>
      <c r="L172" s="458"/>
      <c r="M172" s="458"/>
      <c r="N172" s="458"/>
      <c r="O172" s="458"/>
      <c r="P172" s="296">
        <f t="shared" si="32"/>
        <v>0</v>
      </c>
      <c r="Q172" s="296">
        <f t="shared" si="33"/>
        <v>0</v>
      </c>
      <c r="R172" s="300"/>
      <c r="S172" s="458"/>
      <c r="T172" s="458"/>
    </row>
    <row r="173" spans="2:21" s="459" customFormat="1" ht="21.95" customHeight="1" x14ac:dyDescent="0.25">
      <c r="B173" s="268" t="e">
        <f>B168+1</f>
        <v>#REF!</v>
      </c>
      <c r="C173" s="269" t="s">
        <v>778</v>
      </c>
      <c r="D173" s="296">
        <v>0</v>
      </c>
      <c r="E173" s="297">
        <v>0</v>
      </c>
      <c r="F173" s="296">
        <v>0</v>
      </c>
      <c r="G173" s="296">
        <f t="shared" si="30"/>
        <v>0</v>
      </c>
      <c r="H173" s="296">
        <f t="shared" si="31"/>
        <v>0</v>
      </c>
      <c r="I173" s="19" t="s">
        <v>95</v>
      </c>
      <c r="J173" s="458"/>
      <c r="K173" s="458"/>
      <c r="L173" s="458"/>
      <c r="M173" s="458"/>
      <c r="N173" s="458"/>
      <c r="O173" s="458"/>
      <c r="P173" s="296">
        <f t="shared" si="32"/>
        <v>0</v>
      </c>
      <c r="Q173" s="296">
        <f t="shared" si="33"/>
        <v>0</v>
      </c>
      <c r="R173" s="300"/>
      <c r="S173" s="458"/>
      <c r="T173" s="458"/>
    </row>
    <row r="174" spans="2:21" s="459" customFormat="1" ht="21.95" customHeight="1" x14ac:dyDescent="0.25">
      <c r="B174" s="268" t="e">
        <f>B172+1</f>
        <v>#REF!</v>
      </c>
      <c r="C174" s="269" t="s">
        <v>780</v>
      </c>
      <c r="D174" s="296">
        <v>0</v>
      </c>
      <c r="E174" s="297">
        <v>0</v>
      </c>
      <c r="F174" s="296">
        <v>0</v>
      </c>
      <c r="G174" s="296">
        <f t="shared" si="30"/>
        <v>0</v>
      </c>
      <c r="H174" s="296">
        <f t="shared" si="31"/>
        <v>0</v>
      </c>
      <c r="I174" s="19" t="s">
        <v>95</v>
      </c>
      <c r="J174" s="458"/>
      <c r="K174" s="458"/>
      <c r="L174" s="458"/>
      <c r="M174" s="458"/>
      <c r="N174" s="458"/>
      <c r="O174" s="458"/>
      <c r="P174" s="296">
        <f t="shared" si="32"/>
        <v>0</v>
      </c>
      <c r="Q174" s="296">
        <f t="shared" si="33"/>
        <v>0</v>
      </c>
      <c r="R174" s="300"/>
      <c r="S174" s="458"/>
      <c r="T174" s="458"/>
    </row>
    <row r="175" spans="2:21" s="459" customFormat="1" ht="41.25" customHeight="1" x14ac:dyDescent="0.25">
      <c r="B175" s="268" t="e">
        <f>B226+1</f>
        <v>#REF!</v>
      </c>
      <c r="C175" s="269" t="s">
        <v>144</v>
      </c>
      <c r="D175" s="296">
        <v>0</v>
      </c>
      <c r="E175" s="297">
        <v>4837</v>
      </c>
      <c r="F175" s="296">
        <v>0</v>
      </c>
      <c r="G175" s="296">
        <f t="shared" si="30"/>
        <v>-4837</v>
      </c>
      <c r="H175" s="296">
        <f t="shared" si="31"/>
        <v>0</v>
      </c>
      <c r="I175" s="19" t="s">
        <v>95</v>
      </c>
      <c r="J175" s="458"/>
      <c r="K175" s="458"/>
      <c r="L175" s="458"/>
      <c r="M175" s="458"/>
      <c r="N175" s="458"/>
      <c r="O175" s="458"/>
      <c r="P175" s="296">
        <f t="shared" si="32"/>
        <v>0</v>
      </c>
      <c r="Q175" s="296">
        <f t="shared" si="33"/>
        <v>0</v>
      </c>
      <c r="R175" s="300"/>
      <c r="S175" s="458"/>
      <c r="T175" s="458"/>
    </row>
    <row r="176" spans="2:21" s="459" customFormat="1" ht="31.5" customHeight="1" x14ac:dyDescent="0.25">
      <c r="B176" s="268" t="e">
        <f>B173+1</f>
        <v>#REF!</v>
      </c>
      <c r="C176" s="269" t="s">
        <v>781</v>
      </c>
      <c r="D176" s="296">
        <v>0</v>
      </c>
      <c r="E176" s="297">
        <v>0</v>
      </c>
      <c r="F176" s="296">
        <v>0</v>
      </c>
      <c r="G176" s="296">
        <f t="shared" si="30"/>
        <v>0</v>
      </c>
      <c r="H176" s="296">
        <f t="shared" si="31"/>
        <v>0</v>
      </c>
      <c r="I176" s="19" t="s">
        <v>95</v>
      </c>
      <c r="J176" s="458"/>
      <c r="K176" s="458"/>
      <c r="L176" s="458"/>
      <c r="M176" s="458"/>
      <c r="N176" s="458"/>
      <c r="O176" s="458"/>
      <c r="P176" s="296">
        <f t="shared" si="32"/>
        <v>0</v>
      </c>
      <c r="Q176" s="296">
        <f t="shared" si="33"/>
        <v>0</v>
      </c>
      <c r="R176" s="300"/>
      <c r="S176" s="458"/>
      <c r="T176" s="458"/>
    </row>
    <row r="177" spans="2:22" s="459" customFormat="1" ht="30.75" customHeight="1" x14ac:dyDescent="0.25">
      <c r="B177" s="268" t="e">
        <f>B228+1</f>
        <v>#REF!</v>
      </c>
      <c r="C177" s="269" t="s">
        <v>145</v>
      </c>
      <c r="D177" s="296">
        <v>6062.98</v>
      </c>
      <c r="E177" s="297">
        <v>4424</v>
      </c>
      <c r="F177" s="296">
        <v>6062.98</v>
      </c>
      <c r="G177" s="296">
        <f t="shared" si="30"/>
        <v>1638.9799999999996</v>
      </c>
      <c r="H177" s="296"/>
      <c r="I177" s="19" t="s">
        <v>95</v>
      </c>
      <c r="J177" s="241"/>
      <c r="K177" s="458"/>
      <c r="L177" s="458"/>
      <c r="M177" s="458"/>
      <c r="N177" s="458"/>
      <c r="O177" s="458"/>
      <c r="P177" s="296">
        <f t="shared" si="32"/>
        <v>0</v>
      </c>
      <c r="Q177" s="296">
        <f t="shared" si="33"/>
        <v>0</v>
      </c>
      <c r="R177" s="300"/>
      <c r="S177" s="241"/>
      <c r="T177" s="241"/>
    </row>
    <row r="178" spans="2:22" s="459" customFormat="1" ht="34.5" customHeight="1" x14ac:dyDescent="0.25">
      <c r="B178" s="268" t="e">
        <f t="shared" si="29"/>
        <v>#REF!</v>
      </c>
      <c r="C178" s="269" t="s">
        <v>146</v>
      </c>
      <c r="D178" s="296">
        <v>105865.52</v>
      </c>
      <c r="E178" s="297">
        <v>91770</v>
      </c>
      <c r="F178" s="296">
        <v>105865.52</v>
      </c>
      <c r="G178" s="296">
        <f t="shared" si="30"/>
        <v>14095.520000000004</v>
      </c>
      <c r="H178" s="296"/>
      <c r="I178" s="19" t="s">
        <v>95</v>
      </c>
      <c r="J178" s="458"/>
      <c r="K178" s="458"/>
      <c r="L178" s="458"/>
      <c r="M178" s="458"/>
      <c r="N178" s="458"/>
      <c r="O178" s="458"/>
      <c r="P178" s="296">
        <f t="shared" si="32"/>
        <v>0</v>
      </c>
      <c r="Q178" s="296">
        <f t="shared" si="33"/>
        <v>0</v>
      </c>
      <c r="R178" s="300"/>
      <c r="S178" s="458" t="s">
        <v>782</v>
      </c>
      <c r="T178" s="458"/>
    </row>
    <row r="179" spans="2:22" s="459" customFormat="1" ht="21.95" customHeight="1" x14ac:dyDescent="0.25">
      <c r="B179" s="268"/>
      <c r="C179" s="301" t="s">
        <v>783</v>
      </c>
      <c r="D179" s="302"/>
      <c r="E179" s="303"/>
      <c r="F179" s="302"/>
      <c r="G179" s="296"/>
      <c r="H179" s="296"/>
      <c r="I179" s="19"/>
      <c r="J179" s="458"/>
      <c r="K179" s="458"/>
      <c r="L179" s="458"/>
      <c r="M179" s="458"/>
      <c r="N179" s="458"/>
      <c r="O179" s="458"/>
      <c r="P179" s="296"/>
      <c r="Q179" s="296"/>
      <c r="R179" s="300"/>
      <c r="S179" s="458"/>
      <c r="T179" s="458"/>
    </row>
    <row r="180" spans="2:22" s="459" customFormat="1" ht="30" customHeight="1" x14ac:dyDescent="0.25">
      <c r="B180" s="268"/>
      <c r="C180" s="536" t="s">
        <v>784</v>
      </c>
      <c r="D180" s="537"/>
      <c r="E180" s="538"/>
      <c r="F180" s="537"/>
      <c r="G180" s="537"/>
      <c r="H180" s="539">
        <v>30000</v>
      </c>
      <c r="I180" s="299"/>
      <c r="J180" s="299"/>
      <c r="K180" s="299"/>
      <c r="L180" s="299"/>
      <c r="M180" s="299"/>
      <c r="N180" s="299"/>
      <c r="O180" s="299"/>
      <c r="P180" s="298">
        <v>30000</v>
      </c>
      <c r="Q180" s="298">
        <v>30000</v>
      </c>
      <c r="R180" s="300"/>
      <c r="S180" s="458"/>
      <c r="T180" s="458"/>
    </row>
    <row r="181" spans="2:22" s="459" customFormat="1" ht="21.95" customHeight="1" x14ac:dyDescent="0.25">
      <c r="B181" s="268" t="e">
        <f>B175+1</f>
        <v>#REF!</v>
      </c>
      <c r="C181" s="498" t="s">
        <v>147</v>
      </c>
      <c r="D181" s="499">
        <v>544273.4</v>
      </c>
      <c r="E181" s="500">
        <f ca="1">SUM(E155:E229)</f>
        <v>725566</v>
      </c>
      <c r="F181" s="499">
        <f ca="1">SUM(F155:F229)</f>
        <v>418291.94</v>
      </c>
      <c r="G181" s="499">
        <f ca="1">SUM(G155:L229)</f>
        <v>91649.409999999974</v>
      </c>
      <c r="H181" s="499"/>
      <c r="I181" s="499">
        <f ca="1">SUM(I155:P229)</f>
        <v>393423.47</v>
      </c>
      <c r="J181" s="499">
        <f ca="1">SUM(J155:Q229)</f>
        <v>761846.94</v>
      </c>
      <c r="K181" s="499">
        <f ca="1">SUM(K155:R229)</f>
        <v>761846.94</v>
      </c>
      <c r="L181" s="499">
        <f ca="1">SUM(L155:S229)</f>
        <v>761846.94</v>
      </c>
      <c r="M181" s="499">
        <f ca="1">SUM(M155:T229)</f>
        <v>761846.94</v>
      </c>
      <c r="N181" s="499"/>
      <c r="O181" s="499"/>
      <c r="P181" s="499">
        <f ca="1">SUM(P155:U229)</f>
        <v>870470.94</v>
      </c>
      <c r="Q181" s="499">
        <f ca="1">SUM(Q155:V229)</f>
        <v>477047.47</v>
      </c>
      <c r="R181" s="425"/>
      <c r="S181" s="458"/>
      <c r="T181" s="458"/>
    </row>
    <row r="182" spans="2:22" s="458" customFormat="1" ht="21.95" customHeight="1" x14ac:dyDescent="0.25">
      <c r="B182" s="268" t="e">
        <f>B176+1</f>
        <v>#REF!</v>
      </c>
      <c r="C182" s="53" t="s">
        <v>148</v>
      </c>
      <c r="D182" s="296">
        <v>69933.5</v>
      </c>
      <c r="E182" s="297">
        <v>77836</v>
      </c>
      <c r="F182" s="296">
        <v>69933.5</v>
      </c>
      <c r="G182" s="296">
        <f>F182-E182</f>
        <v>-7902.5</v>
      </c>
      <c r="H182" s="296">
        <f>U182</f>
        <v>71316</v>
      </c>
      <c r="I182" s="19" t="s">
        <v>95</v>
      </c>
      <c r="P182" s="296">
        <f>H182</f>
        <v>71316</v>
      </c>
      <c r="Q182" s="296">
        <f>H182</f>
        <v>71316</v>
      </c>
      <c r="R182" s="300"/>
      <c r="S182" s="458" t="s">
        <v>786</v>
      </c>
      <c r="T182" s="496">
        <v>45291</v>
      </c>
      <c r="U182" s="495">
        <v>71316</v>
      </c>
      <c r="V182" s="458" t="s">
        <v>787</v>
      </c>
    </row>
    <row r="183" spans="2:22" s="458" customFormat="1" ht="21.95" customHeight="1" x14ac:dyDescent="0.25">
      <c r="B183" s="268" t="e">
        <f>B177+1</f>
        <v>#REF!</v>
      </c>
      <c r="C183" s="53" t="s">
        <v>149</v>
      </c>
      <c r="D183" s="296">
        <v>960</v>
      </c>
      <c r="E183" s="297">
        <v>960</v>
      </c>
      <c r="F183" s="296">
        <v>960</v>
      </c>
      <c r="G183" s="296">
        <f t="shared" ref="G183:G225" si="34">F183-E183</f>
        <v>0</v>
      </c>
      <c r="H183" s="296">
        <f t="shared" ref="H183:H191" si="35">F183</f>
        <v>960</v>
      </c>
      <c r="I183" s="19" t="s">
        <v>95</v>
      </c>
      <c r="P183" s="296">
        <f t="shared" ref="P183:P186" si="36">H183</f>
        <v>960</v>
      </c>
      <c r="Q183" s="296">
        <f t="shared" ref="Q183:Q186" si="37">H183</f>
        <v>960</v>
      </c>
      <c r="R183" s="300"/>
      <c r="S183" s="458" t="s">
        <v>788</v>
      </c>
      <c r="T183" s="496">
        <v>45291</v>
      </c>
      <c r="U183" s="495">
        <v>960</v>
      </c>
      <c r="V183" s="458" t="s">
        <v>787</v>
      </c>
    </row>
    <row r="184" spans="2:22" s="458" customFormat="1" ht="21.95" customHeight="1" x14ac:dyDescent="0.25">
      <c r="B184" s="268" t="e">
        <f>B178+1</f>
        <v>#REF!</v>
      </c>
      <c r="C184" s="53" t="s">
        <v>150</v>
      </c>
      <c r="D184" s="296">
        <v>0</v>
      </c>
      <c r="E184" s="297">
        <v>0</v>
      </c>
      <c r="F184" s="296">
        <v>0</v>
      </c>
      <c r="G184" s="296">
        <f t="shared" si="34"/>
        <v>0</v>
      </c>
      <c r="H184" s="296">
        <f t="shared" si="35"/>
        <v>0</v>
      </c>
      <c r="I184" s="19" t="s">
        <v>95</v>
      </c>
      <c r="P184" s="296">
        <f t="shared" si="36"/>
        <v>0</v>
      </c>
      <c r="Q184" s="296">
        <f t="shared" si="37"/>
        <v>0</v>
      </c>
      <c r="R184" s="300"/>
      <c r="U184" s="459"/>
    </row>
    <row r="185" spans="2:22" s="458" customFormat="1" ht="21.95" customHeight="1" x14ac:dyDescent="0.25">
      <c r="B185" s="268" t="e">
        <f t="shared" ref="B185:B187" si="38">B181+1</f>
        <v>#REF!</v>
      </c>
      <c r="C185" s="53" t="s">
        <v>151</v>
      </c>
      <c r="D185" s="296">
        <v>86.55</v>
      </c>
      <c r="E185" s="297">
        <v>127</v>
      </c>
      <c r="F185" s="296">
        <v>79.849999999999994</v>
      </c>
      <c r="G185" s="296">
        <f t="shared" si="34"/>
        <v>-47.150000000000006</v>
      </c>
      <c r="H185" s="296">
        <f t="shared" si="35"/>
        <v>79.849999999999994</v>
      </c>
      <c r="I185" s="19" t="s">
        <v>95</v>
      </c>
      <c r="P185" s="296">
        <f t="shared" si="36"/>
        <v>79.849999999999994</v>
      </c>
      <c r="Q185" s="296">
        <f t="shared" si="37"/>
        <v>79.849999999999994</v>
      </c>
      <c r="R185" s="300"/>
      <c r="U185" s="459"/>
    </row>
    <row r="186" spans="2:22" s="458" customFormat="1" ht="21.95" customHeight="1" x14ac:dyDescent="0.25">
      <c r="B186" s="268" t="e">
        <f t="shared" si="38"/>
        <v>#REF!</v>
      </c>
      <c r="C186" s="53" t="s">
        <v>152</v>
      </c>
      <c r="D186" s="296">
        <v>2627.83</v>
      </c>
      <c r="E186" s="297">
        <v>2772</v>
      </c>
      <c r="F186" s="296">
        <v>2717.01</v>
      </c>
      <c r="G186" s="296">
        <f t="shared" si="34"/>
        <v>-54.989999999999782</v>
      </c>
      <c r="H186" s="296">
        <f t="shared" si="35"/>
        <v>2717.01</v>
      </c>
      <c r="I186" s="19" t="s">
        <v>95</v>
      </c>
      <c r="N186" s="548" t="s">
        <v>353</v>
      </c>
      <c r="P186" s="296">
        <f t="shared" si="36"/>
        <v>2717.01</v>
      </c>
      <c r="Q186" s="296">
        <f t="shared" si="37"/>
        <v>2717.01</v>
      </c>
      <c r="R186" s="300"/>
      <c r="U186" s="459"/>
    </row>
    <row r="187" spans="2:22" s="458" customFormat="1" ht="21.95" customHeight="1" x14ac:dyDescent="0.25">
      <c r="B187" s="268" t="e">
        <f t="shared" si="38"/>
        <v>#REF!</v>
      </c>
      <c r="C187" s="53" t="s">
        <v>153</v>
      </c>
      <c r="D187" s="296">
        <v>347</v>
      </c>
      <c r="E187" s="297">
        <v>0</v>
      </c>
      <c r="F187" s="296">
        <v>520</v>
      </c>
      <c r="G187" s="296">
        <f t="shared" si="34"/>
        <v>520</v>
      </c>
      <c r="H187" s="296">
        <f t="shared" si="35"/>
        <v>520</v>
      </c>
      <c r="I187" s="19" t="s">
        <v>95</v>
      </c>
      <c r="P187" s="515">
        <f t="shared" ref="P187:Q189" si="39">L187</f>
        <v>0</v>
      </c>
      <c r="Q187" s="515">
        <f t="shared" si="39"/>
        <v>0</v>
      </c>
      <c r="R187" s="517"/>
      <c r="U187" s="459"/>
    </row>
    <row r="188" spans="2:22" s="458" customFormat="1" ht="21.95" customHeight="1" x14ac:dyDescent="0.25">
      <c r="B188" s="268" t="e">
        <f t="shared" si="29"/>
        <v>#REF!</v>
      </c>
      <c r="C188" s="53" t="s">
        <v>154</v>
      </c>
      <c r="D188" s="296">
        <v>1250</v>
      </c>
      <c r="E188" s="297">
        <v>9333</v>
      </c>
      <c r="F188" s="296">
        <v>1250</v>
      </c>
      <c r="G188" s="296">
        <f t="shared" si="34"/>
        <v>-8083</v>
      </c>
      <c r="H188" s="296">
        <f t="shared" si="35"/>
        <v>1250</v>
      </c>
      <c r="I188" s="19" t="s">
        <v>95</v>
      </c>
      <c r="P188" s="296">
        <f t="shared" si="39"/>
        <v>0</v>
      </c>
      <c r="Q188" s="296">
        <f t="shared" si="39"/>
        <v>0</v>
      </c>
      <c r="R188" s="300"/>
      <c r="U188" s="459"/>
    </row>
    <row r="189" spans="2:22" s="458" customFormat="1" ht="21.95" customHeight="1" x14ac:dyDescent="0.25">
      <c r="B189" s="268" t="e">
        <f t="shared" si="29"/>
        <v>#REF!</v>
      </c>
      <c r="C189" s="196" t="s">
        <v>155</v>
      </c>
      <c r="D189" s="296">
        <v>500</v>
      </c>
      <c r="E189" s="297">
        <v>2460</v>
      </c>
      <c r="F189" s="296">
        <v>1890</v>
      </c>
      <c r="G189" s="296">
        <f t="shared" si="34"/>
        <v>-570</v>
      </c>
      <c r="H189" s="296">
        <v>0</v>
      </c>
      <c r="I189" s="19" t="s">
        <v>95</v>
      </c>
      <c r="P189" s="296">
        <f t="shared" si="39"/>
        <v>0</v>
      </c>
      <c r="Q189" s="296">
        <f t="shared" si="39"/>
        <v>0</v>
      </c>
      <c r="R189" s="300"/>
      <c r="U189" s="459"/>
    </row>
    <row r="190" spans="2:22" s="458" customFormat="1" ht="21.95" customHeight="1" x14ac:dyDescent="0.25">
      <c r="B190" s="268" t="e">
        <f t="shared" si="29"/>
        <v>#REF!</v>
      </c>
      <c r="C190" s="53" t="s">
        <v>156</v>
      </c>
      <c r="D190" s="296">
        <v>1502.3000000000002</v>
      </c>
      <c r="E190" s="297">
        <v>4680</v>
      </c>
      <c r="F190" s="296">
        <v>3493.15</v>
      </c>
      <c r="G190" s="296">
        <f t="shared" si="34"/>
        <v>-1186.8499999999999</v>
      </c>
      <c r="H190" s="296">
        <v>2000</v>
      </c>
      <c r="I190" s="458" t="s">
        <v>789</v>
      </c>
      <c r="P190" s="515">
        <f>H190</f>
        <v>2000</v>
      </c>
      <c r="Q190" s="515">
        <f>H190</f>
        <v>2000</v>
      </c>
      <c r="R190" s="517"/>
      <c r="S190" s="19" t="s">
        <v>790</v>
      </c>
      <c r="T190" s="496">
        <v>44561</v>
      </c>
      <c r="U190" s="495">
        <v>1500</v>
      </c>
    </row>
    <row r="191" spans="2:22" s="458" customFormat="1" ht="21.95" customHeight="1" x14ac:dyDescent="0.25">
      <c r="B191" s="268" t="e">
        <f t="shared" si="29"/>
        <v>#REF!</v>
      </c>
      <c r="C191" s="53" t="s">
        <v>157</v>
      </c>
      <c r="D191" s="296">
        <v>6370.1</v>
      </c>
      <c r="E191" s="297">
        <v>13523</v>
      </c>
      <c r="F191" s="296">
        <v>7094.05</v>
      </c>
      <c r="G191" s="296">
        <f t="shared" si="34"/>
        <v>-6428.95</v>
      </c>
      <c r="H191" s="296">
        <f t="shared" si="35"/>
        <v>7094.05</v>
      </c>
      <c r="I191" s="458" t="s">
        <v>791</v>
      </c>
      <c r="P191" s="515">
        <f t="shared" ref="P191:P193" si="40">H191</f>
        <v>7094.05</v>
      </c>
      <c r="Q191" s="515">
        <f t="shared" ref="Q191:Q193" si="41">H191</f>
        <v>7094.05</v>
      </c>
      <c r="R191" s="517"/>
      <c r="S191" s="458" t="s">
        <v>792</v>
      </c>
      <c r="T191" s="496" t="s">
        <v>793</v>
      </c>
      <c r="U191" s="495">
        <f>1450+5200</f>
        <v>6650</v>
      </c>
      <c r="V191" s="458" t="s">
        <v>794</v>
      </c>
    </row>
    <row r="192" spans="2:22" s="458" customFormat="1" ht="21.95" customHeight="1" x14ac:dyDescent="0.25">
      <c r="B192" s="268" t="e">
        <f t="shared" ref="B192:B208" si="42">B188+1</f>
        <v>#REF!</v>
      </c>
      <c r="C192" s="53" t="s">
        <v>158</v>
      </c>
      <c r="D192" s="296">
        <v>4247.88</v>
      </c>
      <c r="E192" s="297">
        <v>6760</v>
      </c>
      <c r="F192" s="296">
        <v>4341.05</v>
      </c>
      <c r="G192" s="296">
        <f t="shared" si="34"/>
        <v>-2418.9499999999998</v>
      </c>
      <c r="H192" s="296">
        <v>9920</v>
      </c>
      <c r="I192" s="458" t="s">
        <v>795</v>
      </c>
      <c r="J192" s="458">
        <f>8000+8000*24%</f>
        <v>9920</v>
      </c>
      <c r="P192" s="515">
        <f t="shared" si="40"/>
        <v>9920</v>
      </c>
      <c r="Q192" s="515">
        <f t="shared" si="41"/>
        <v>9920</v>
      </c>
      <c r="R192" s="517"/>
      <c r="S192" s="458" t="s">
        <v>796</v>
      </c>
      <c r="T192" s="496">
        <v>45291</v>
      </c>
      <c r="U192" s="502">
        <f>(5760/365*269+1842.88)/2</f>
        <v>3043.9605479452052</v>
      </c>
    </row>
    <row r="193" spans="2:23" s="458" customFormat="1" ht="21.95" customHeight="1" x14ac:dyDescent="0.25">
      <c r="B193" s="268" t="e">
        <f t="shared" si="42"/>
        <v>#REF!</v>
      </c>
      <c r="C193" s="53" t="s">
        <v>159</v>
      </c>
      <c r="D193" s="296">
        <v>5200</v>
      </c>
      <c r="E193" s="297">
        <v>2080</v>
      </c>
      <c r="F193" s="296">
        <v>5200</v>
      </c>
      <c r="G193" s="296">
        <f t="shared" si="34"/>
        <v>3120</v>
      </c>
      <c r="H193" s="296">
        <f>F193</f>
        <v>5200</v>
      </c>
      <c r="I193" s="458" t="s">
        <v>797</v>
      </c>
      <c r="P193" s="515">
        <f t="shared" si="40"/>
        <v>5200</v>
      </c>
      <c r="Q193" s="515">
        <f t="shared" si="41"/>
        <v>5200</v>
      </c>
      <c r="R193" s="517"/>
      <c r="S193" s="458" t="s">
        <v>798</v>
      </c>
      <c r="T193" s="496">
        <v>44561</v>
      </c>
      <c r="U193" s="495">
        <v>5200</v>
      </c>
    </row>
    <row r="194" spans="2:23" s="458" customFormat="1" ht="21.95" customHeight="1" x14ac:dyDescent="0.25">
      <c r="B194" s="268" t="e">
        <f t="shared" si="42"/>
        <v>#REF!</v>
      </c>
      <c r="C194" s="53" t="s">
        <v>160</v>
      </c>
      <c r="D194" s="296">
        <v>4948.08</v>
      </c>
      <c r="E194" s="297">
        <v>9896</v>
      </c>
      <c r="F194" s="296">
        <v>4948.08</v>
      </c>
      <c r="G194" s="296">
        <f t="shared" si="34"/>
        <v>-4947.92</v>
      </c>
      <c r="H194" s="296">
        <v>0</v>
      </c>
      <c r="I194" s="458" t="s">
        <v>799</v>
      </c>
      <c r="P194" s="296">
        <v>0</v>
      </c>
      <c r="Q194" s="296">
        <v>0</v>
      </c>
      <c r="R194" s="300"/>
      <c r="S194" s="458" t="s">
        <v>800</v>
      </c>
      <c r="T194" s="496">
        <v>44377</v>
      </c>
      <c r="U194" s="518" t="s">
        <v>801</v>
      </c>
    </row>
    <row r="195" spans="2:23" s="458" customFormat="1" ht="21.95" customHeight="1" x14ac:dyDescent="0.25">
      <c r="B195" s="268" t="e">
        <f t="shared" si="42"/>
        <v>#REF!</v>
      </c>
      <c r="C195" s="53" t="s">
        <v>161</v>
      </c>
      <c r="D195" s="296">
        <v>3380</v>
      </c>
      <c r="E195" s="297">
        <v>6760</v>
      </c>
      <c r="F195" s="296">
        <v>3380</v>
      </c>
      <c r="G195" s="296">
        <f t="shared" si="34"/>
        <v>-3380</v>
      </c>
      <c r="H195" s="296">
        <f t="shared" ref="H195:H202" si="43">F195</f>
        <v>3380</v>
      </c>
      <c r="I195" s="458" t="s">
        <v>95</v>
      </c>
      <c r="P195" s="515">
        <f>H195</f>
        <v>3380</v>
      </c>
      <c r="Q195" s="515">
        <f>H195</f>
        <v>3380</v>
      </c>
      <c r="R195" s="517"/>
      <c r="S195" s="458" t="s">
        <v>802</v>
      </c>
      <c r="T195" s="496">
        <v>44464</v>
      </c>
      <c r="U195" s="495">
        <v>3380</v>
      </c>
    </row>
    <row r="196" spans="2:23" s="458" customFormat="1" ht="21.95" customHeight="1" x14ac:dyDescent="0.25">
      <c r="B196" s="268" t="e">
        <f t="shared" si="42"/>
        <v>#REF!</v>
      </c>
      <c r="C196" s="53" t="s">
        <v>162</v>
      </c>
      <c r="D196" s="296">
        <v>1050</v>
      </c>
      <c r="E196" s="297">
        <v>1504</v>
      </c>
      <c r="F196" s="296">
        <v>1050.94</v>
      </c>
      <c r="G196" s="296">
        <f t="shared" si="34"/>
        <v>-453.05999999999995</v>
      </c>
      <c r="H196" s="296">
        <f t="shared" si="43"/>
        <v>1050.94</v>
      </c>
      <c r="I196" s="458" t="s">
        <v>95</v>
      </c>
      <c r="P196" s="515">
        <f>H196</f>
        <v>1050.94</v>
      </c>
      <c r="Q196" s="515">
        <f>H196</f>
        <v>1050.94</v>
      </c>
      <c r="R196" s="517"/>
      <c r="S196" s="458" t="s">
        <v>803</v>
      </c>
      <c r="T196" s="496">
        <v>44592</v>
      </c>
      <c r="U196" s="459"/>
    </row>
    <row r="197" spans="2:23" s="458" customFormat="1" ht="21.95" customHeight="1" x14ac:dyDescent="0.25">
      <c r="B197" s="268" t="e">
        <f t="shared" si="42"/>
        <v>#REF!</v>
      </c>
      <c r="C197" s="53" t="s">
        <v>804</v>
      </c>
      <c r="D197" s="296">
        <v>0</v>
      </c>
      <c r="E197" s="297">
        <v>0</v>
      </c>
      <c r="F197" s="296">
        <v>0</v>
      </c>
      <c r="G197" s="296">
        <f t="shared" si="34"/>
        <v>0</v>
      </c>
      <c r="H197" s="296">
        <f t="shared" si="43"/>
        <v>0</v>
      </c>
      <c r="I197" s="458" t="s">
        <v>95</v>
      </c>
      <c r="P197" s="296">
        <f>L197</f>
        <v>0</v>
      </c>
      <c r="Q197" s="296">
        <f>M197</f>
        <v>0</v>
      </c>
      <c r="R197" s="300"/>
      <c r="U197" s="459"/>
    </row>
    <row r="198" spans="2:23" s="458" customFormat="1" ht="21.95" customHeight="1" x14ac:dyDescent="0.25">
      <c r="B198" s="268" t="e">
        <f t="shared" si="42"/>
        <v>#REF!</v>
      </c>
      <c r="C198" s="53" t="s">
        <v>163</v>
      </c>
      <c r="D198" s="296">
        <v>7603.18</v>
      </c>
      <c r="E198" s="297">
        <v>15140</v>
      </c>
      <c r="F198" s="296">
        <v>0</v>
      </c>
      <c r="G198" s="296">
        <f t="shared" si="34"/>
        <v>-15140</v>
      </c>
      <c r="H198" s="296">
        <f t="shared" si="43"/>
        <v>0</v>
      </c>
      <c r="I198" s="458" t="s">
        <v>805</v>
      </c>
      <c r="P198" s="515">
        <f>L198</f>
        <v>0</v>
      </c>
      <c r="Q198" s="515">
        <f>M198</f>
        <v>0</v>
      </c>
      <c r="R198" s="517"/>
      <c r="U198" s="459"/>
    </row>
    <row r="199" spans="2:23" s="458" customFormat="1" ht="21.95" customHeight="1" x14ac:dyDescent="0.25">
      <c r="B199" s="268" t="e">
        <f t="shared" si="42"/>
        <v>#REF!</v>
      </c>
      <c r="C199" s="53" t="s">
        <v>164</v>
      </c>
      <c r="D199" s="296">
        <v>3684.2000000000007</v>
      </c>
      <c r="E199" s="297">
        <v>7369</v>
      </c>
      <c r="F199" s="296">
        <v>3684.6</v>
      </c>
      <c r="G199" s="296">
        <f t="shared" si="34"/>
        <v>-3684.4</v>
      </c>
      <c r="H199" s="296">
        <f t="shared" si="43"/>
        <v>3684.6</v>
      </c>
      <c r="I199" s="19" t="s">
        <v>95</v>
      </c>
      <c r="P199" s="515">
        <f>H199</f>
        <v>3684.6</v>
      </c>
      <c r="Q199" s="515">
        <f>H199</f>
        <v>3684.6</v>
      </c>
      <c r="R199" s="517"/>
      <c r="U199" s="459"/>
    </row>
    <row r="200" spans="2:23" s="458" customFormat="1" ht="21.95" customHeight="1" x14ac:dyDescent="0.25">
      <c r="B200" s="268" t="e">
        <f t="shared" si="42"/>
        <v>#REF!</v>
      </c>
      <c r="C200" s="53" t="s">
        <v>165</v>
      </c>
      <c r="D200" s="296">
        <v>7281</v>
      </c>
      <c r="E200" s="297">
        <v>14562</v>
      </c>
      <c r="F200" s="296">
        <v>7280</v>
      </c>
      <c r="G200" s="296">
        <f t="shared" si="34"/>
        <v>-7282</v>
      </c>
      <c r="H200" s="296">
        <f t="shared" si="43"/>
        <v>7280</v>
      </c>
      <c r="I200" s="19" t="s">
        <v>95</v>
      </c>
      <c r="P200" s="515">
        <f t="shared" ref="P200:P201" si="44">H200</f>
        <v>7280</v>
      </c>
      <c r="Q200" s="515">
        <f t="shared" ref="Q200:Q201" si="45">H200</f>
        <v>7280</v>
      </c>
      <c r="R200" s="517"/>
      <c r="U200" s="459"/>
    </row>
    <row r="201" spans="2:23" s="458" customFormat="1" ht="21.95" customHeight="1" x14ac:dyDescent="0.25">
      <c r="B201" s="268" t="e">
        <f t="shared" si="42"/>
        <v>#REF!</v>
      </c>
      <c r="C201" s="51" t="s">
        <v>166</v>
      </c>
      <c r="D201" s="543">
        <v>5724.92</v>
      </c>
      <c r="E201" s="544">
        <v>13599</v>
      </c>
      <c r="F201" s="543">
        <v>5723.96</v>
      </c>
      <c r="G201" s="543">
        <f t="shared" si="34"/>
        <v>-7875.04</v>
      </c>
      <c r="H201" s="543">
        <f t="shared" si="43"/>
        <v>5723.96</v>
      </c>
      <c r="I201" s="458" t="s">
        <v>806</v>
      </c>
      <c r="P201" s="515">
        <f t="shared" si="44"/>
        <v>5723.96</v>
      </c>
      <c r="Q201" s="515">
        <f t="shared" si="45"/>
        <v>5723.96</v>
      </c>
      <c r="R201" s="517"/>
      <c r="S201" s="458" t="s">
        <v>807</v>
      </c>
      <c r="T201" s="496">
        <v>44773</v>
      </c>
      <c r="U201" s="495">
        <v>5725</v>
      </c>
    </row>
    <row r="202" spans="2:23" s="497" customFormat="1" ht="21.95" customHeight="1" x14ac:dyDescent="0.25">
      <c r="B202" s="268" t="e">
        <f t="shared" si="42"/>
        <v>#REF!</v>
      </c>
      <c r="C202" s="51" t="s">
        <v>167</v>
      </c>
      <c r="D202" s="543">
        <v>745.87</v>
      </c>
      <c r="E202" s="544">
        <v>7425</v>
      </c>
      <c r="F202" s="543">
        <v>892.52</v>
      </c>
      <c r="G202" s="543">
        <f t="shared" si="34"/>
        <v>-6532.48</v>
      </c>
      <c r="H202" s="543">
        <f t="shared" si="43"/>
        <v>892.52</v>
      </c>
      <c r="I202" s="43" t="s">
        <v>95</v>
      </c>
      <c r="P202" s="296">
        <f>L202</f>
        <v>0</v>
      </c>
      <c r="Q202" s="296">
        <f>M202</f>
        <v>0</v>
      </c>
      <c r="R202" s="300"/>
      <c r="U202" s="504"/>
      <c r="V202" s="458"/>
      <c r="W202" s="458"/>
    </row>
    <row r="203" spans="2:23" s="497" customFormat="1" ht="21.95" customHeight="1" x14ac:dyDescent="0.25">
      <c r="B203" s="268"/>
      <c r="C203" s="545"/>
      <c r="D203" s="546"/>
      <c r="E203" s="547"/>
      <c r="F203" s="546"/>
      <c r="G203" s="546"/>
      <c r="H203" s="546"/>
      <c r="I203" s="353"/>
      <c r="J203" s="523"/>
      <c r="K203" s="523"/>
      <c r="L203" s="523"/>
      <c r="M203" s="523"/>
      <c r="N203" s="529">
        <f>SUM(H201+H202)</f>
        <v>6616.48</v>
      </c>
      <c r="P203" s="296"/>
      <c r="Q203" s="296"/>
      <c r="R203" s="300"/>
      <c r="U203" s="504"/>
      <c r="V203" s="458"/>
      <c r="W203" s="458"/>
    </row>
    <row r="204" spans="2:23" s="458" customFormat="1" ht="21.95" customHeight="1" x14ac:dyDescent="0.25">
      <c r="B204" s="268" t="e">
        <f>B199+1</f>
        <v>#REF!</v>
      </c>
      <c r="C204" s="53" t="s">
        <v>168</v>
      </c>
      <c r="D204" s="296">
        <v>32166.280000000006</v>
      </c>
      <c r="E204" s="297">
        <v>38767</v>
      </c>
      <c r="F204" s="296">
        <v>29403.84</v>
      </c>
      <c r="G204" s="296">
        <f t="shared" si="34"/>
        <v>-9363.16</v>
      </c>
      <c r="H204" s="296">
        <v>50000</v>
      </c>
      <c r="I204" s="458" t="s">
        <v>808</v>
      </c>
      <c r="P204" s="515">
        <f>H204</f>
        <v>50000</v>
      </c>
      <c r="Q204" s="515">
        <f>H204</f>
        <v>50000</v>
      </c>
      <c r="R204" s="517"/>
      <c r="S204" s="497"/>
      <c r="T204" s="497"/>
      <c r="U204" s="504"/>
      <c r="V204" s="497"/>
      <c r="W204" s="497"/>
    </row>
    <row r="205" spans="2:23" s="458" customFormat="1" ht="21.95" customHeight="1" x14ac:dyDescent="0.25">
      <c r="B205" s="268" t="e">
        <f>B200+1</f>
        <v>#REF!</v>
      </c>
      <c r="C205" s="53" t="s">
        <v>169</v>
      </c>
      <c r="D205" s="296">
        <v>7.91</v>
      </c>
      <c r="E205" s="297">
        <v>3</v>
      </c>
      <c r="F205" s="296">
        <v>13.12</v>
      </c>
      <c r="G205" s="296">
        <f t="shared" si="34"/>
        <v>10.119999999999999</v>
      </c>
      <c r="H205" s="296">
        <f>F205</f>
        <v>13.12</v>
      </c>
      <c r="I205" s="19" t="s">
        <v>95</v>
      </c>
      <c r="N205" s="458" t="s">
        <v>353</v>
      </c>
      <c r="P205" s="296">
        <f>H205</f>
        <v>13.12</v>
      </c>
      <c r="Q205" s="296">
        <f>H205</f>
        <v>13.12</v>
      </c>
      <c r="R205" s="300"/>
      <c r="U205" s="459"/>
    </row>
    <row r="206" spans="2:23" s="458" customFormat="1" ht="21.95" customHeight="1" x14ac:dyDescent="0.25">
      <c r="B206" s="268" t="e">
        <f>B201+1</f>
        <v>#REF!</v>
      </c>
      <c r="C206" s="53" t="s">
        <v>170</v>
      </c>
      <c r="D206" s="296">
        <v>848.36</v>
      </c>
      <c r="E206" s="297">
        <v>1385</v>
      </c>
      <c r="F206" s="296">
        <v>698.36</v>
      </c>
      <c r="G206" s="296">
        <f t="shared" si="34"/>
        <v>-686.64</v>
      </c>
      <c r="H206" s="296">
        <f>F206</f>
        <v>698.36</v>
      </c>
      <c r="I206" s="19" t="s">
        <v>95</v>
      </c>
      <c r="P206" s="296">
        <f t="shared" ref="P206:P212" si="46">H206</f>
        <v>698.36</v>
      </c>
      <c r="Q206" s="296">
        <f t="shared" ref="Q206:Q213" si="47">H206</f>
        <v>698.36</v>
      </c>
      <c r="R206" s="300"/>
      <c r="S206" s="458" t="s">
        <v>809</v>
      </c>
      <c r="T206" s="496">
        <v>44561</v>
      </c>
      <c r="U206" s="459">
        <v>500</v>
      </c>
    </row>
    <row r="207" spans="2:23" s="458" customFormat="1" ht="21.95" customHeight="1" x14ac:dyDescent="0.25">
      <c r="B207" s="268" t="e">
        <f>B202+1</f>
        <v>#REF!</v>
      </c>
      <c r="C207" s="53" t="s">
        <v>171</v>
      </c>
      <c r="D207" s="296">
        <v>0</v>
      </c>
      <c r="E207" s="297">
        <v>0</v>
      </c>
      <c r="F207" s="296">
        <v>0</v>
      </c>
      <c r="G207" s="296">
        <f t="shared" si="34"/>
        <v>0</v>
      </c>
      <c r="H207" s="296">
        <f>F207</f>
        <v>0</v>
      </c>
      <c r="I207" s="19" t="s">
        <v>95</v>
      </c>
      <c r="P207" s="296">
        <f t="shared" si="46"/>
        <v>0</v>
      </c>
      <c r="Q207" s="296">
        <f t="shared" si="47"/>
        <v>0</v>
      </c>
      <c r="R207" s="300"/>
      <c r="U207" s="459"/>
    </row>
    <row r="208" spans="2:23" s="458" customFormat="1" ht="21.95" customHeight="1" x14ac:dyDescent="0.25">
      <c r="B208" s="268" t="e">
        <f t="shared" si="42"/>
        <v>#REF!</v>
      </c>
      <c r="C208" s="53" t="s">
        <v>172</v>
      </c>
      <c r="D208" s="296">
        <v>900</v>
      </c>
      <c r="E208" s="297">
        <v>18988</v>
      </c>
      <c r="F208" s="296">
        <v>1000</v>
      </c>
      <c r="G208" s="296">
        <f t="shared" si="34"/>
        <v>-17988</v>
      </c>
      <c r="H208" s="296">
        <f>F208</f>
        <v>1000</v>
      </c>
      <c r="I208" s="19" t="s">
        <v>95</v>
      </c>
      <c r="P208" s="296">
        <f t="shared" si="46"/>
        <v>1000</v>
      </c>
      <c r="Q208" s="296">
        <f t="shared" si="47"/>
        <v>1000</v>
      </c>
      <c r="R208" s="300"/>
      <c r="S208" s="458" t="s">
        <v>810</v>
      </c>
      <c r="U208" s="459">
        <v>1000</v>
      </c>
    </row>
    <row r="209" spans="2:22" s="458" customFormat="1" ht="21.95" customHeight="1" x14ac:dyDescent="0.25">
      <c r="B209" s="268" t="e">
        <f>B212+1</f>
        <v>#REF!</v>
      </c>
      <c r="C209" s="310" t="s">
        <v>177</v>
      </c>
      <c r="D209" s="515">
        <v>7539.8</v>
      </c>
      <c r="E209" s="516">
        <v>10108</v>
      </c>
      <c r="F209" s="515">
        <v>7476.56</v>
      </c>
      <c r="G209" s="515">
        <f>F209-E209</f>
        <v>-2631.4399999999996</v>
      </c>
      <c r="H209" s="515">
        <f>F209+2000</f>
        <v>9476.5600000000013</v>
      </c>
      <c r="I209" s="458" t="s">
        <v>817</v>
      </c>
      <c r="P209" s="515">
        <f>H209</f>
        <v>9476.5600000000013</v>
      </c>
      <c r="Q209" s="515">
        <f>H209</f>
        <v>9476.5600000000013</v>
      </c>
      <c r="R209" s="517"/>
      <c r="S209" s="458" t="s">
        <v>818</v>
      </c>
      <c r="T209" s="496">
        <v>44561</v>
      </c>
      <c r="U209" s="495">
        <f>7476.56/26*28</f>
        <v>8051.68</v>
      </c>
    </row>
    <row r="210" spans="2:22" s="458" customFormat="1" ht="21.95" customHeight="1" x14ac:dyDescent="0.25">
      <c r="B210" s="268" t="e">
        <f>B215+1</f>
        <v>#REF!</v>
      </c>
      <c r="C210" s="310" t="s">
        <v>179</v>
      </c>
      <c r="D210" s="515">
        <v>2022</v>
      </c>
      <c r="E210" s="516">
        <v>3284</v>
      </c>
      <c r="F210" s="515">
        <v>1792</v>
      </c>
      <c r="G210" s="515">
        <f>F210-E210</f>
        <v>-1492</v>
      </c>
      <c r="H210" s="515">
        <f>F210</f>
        <v>1792</v>
      </c>
      <c r="I210" s="19" t="s">
        <v>95</v>
      </c>
      <c r="P210" s="515">
        <f>F210</f>
        <v>1792</v>
      </c>
      <c r="Q210" s="515">
        <f>H210</f>
        <v>1792</v>
      </c>
      <c r="R210" s="517"/>
      <c r="S210" s="458" t="s">
        <v>820</v>
      </c>
      <c r="T210" s="496">
        <v>44592</v>
      </c>
      <c r="U210" s="495">
        <v>2000</v>
      </c>
      <c r="V210" s="458" t="s">
        <v>787</v>
      </c>
    </row>
    <row r="211" spans="2:22" s="458" customFormat="1" ht="21.95" customHeight="1" x14ac:dyDescent="0.25">
      <c r="B211" s="268"/>
      <c r="C211" s="53"/>
      <c r="D211" s="296"/>
      <c r="E211" s="297"/>
      <c r="F211" s="296"/>
      <c r="G211" s="296"/>
      <c r="H211" s="296"/>
      <c r="I211" s="19"/>
      <c r="P211" s="515"/>
      <c r="Q211" s="515"/>
      <c r="R211" s="517"/>
      <c r="T211" s="496"/>
      <c r="U211" s="495"/>
    </row>
    <row r="212" spans="2:22" s="458" customFormat="1" ht="21.95" customHeight="1" x14ac:dyDescent="0.25">
      <c r="B212" s="268" t="e">
        <f>B205+1</f>
        <v>#REF!</v>
      </c>
      <c r="C212" s="53" t="s">
        <v>173</v>
      </c>
      <c r="D212" s="296">
        <v>1058.7850000000001</v>
      </c>
      <c r="E212" s="297">
        <v>997</v>
      </c>
      <c r="F212" s="296">
        <v>3374.94</v>
      </c>
      <c r="G212" s="296">
        <f t="shared" si="34"/>
        <v>2377.94</v>
      </c>
      <c r="H212" s="296">
        <f>F212</f>
        <v>3374.94</v>
      </c>
      <c r="I212" s="19" t="s">
        <v>95</v>
      </c>
      <c r="P212" s="296">
        <f t="shared" si="46"/>
        <v>3374.94</v>
      </c>
      <c r="Q212" s="296">
        <f t="shared" si="47"/>
        <v>3374.94</v>
      </c>
      <c r="R212" s="300"/>
      <c r="S212" s="458" t="s">
        <v>811</v>
      </c>
      <c r="U212" s="459"/>
    </row>
    <row r="213" spans="2:22" s="458" customFormat="1" ht="21.95" customHeight="1" x14ac:dyDescent="0.25">
      <c r="B213" s="268"/>
      <c r="C213" s="53" t="s">
        <v>812</v>
      </c>
      <c r="D213" s="296"/>
      <c r="E213" s="297"/>
      <c r="F213" s="296">
        <v>49320</v>
      </c>
      <c r="G213" s="296"/>
      <c r="H213" s="296"/>
      <c r="I213" s="19"/>
      <c r="P213" s="296"/>
      <c r="Q213" s="296">
        <f t="shared" si="47"/>
        <v>0</v>
      </c>
      <c r="R213" s="300"/>
      <c r="U213" s="459"/>
    </row>
    <row r="214" spans="2:22" s="458" customFormat="1" ht="21.95" customHeight="1" x14ac:dyDescent="0.25">
      <c r="B214" s="268" t="e">
        <f>B206+1</f>
        <v>#REF!</v>
      </c>
      <c r="C214" s="53" t="s">
        <v>174</v>
      </c>
      <c r="D214" s="296">
        <v>0</v>
      </c>
      <c r="E214" s="297">
        <v>13558</v>
      </c>
      <c r="F214" s="296">
        <v>0</v>
      </c>
      <c r="G214" s="296">
        <f t="shared" si="34"/>
        <v>-13558</v>
      </c>
      <c r="H214" s="100"/>
      <c r="I214" s="506" t="s">
        <v>813</v>
      </c>
      <c r="J214" s="506"/>
      <c r="K214" s="506"/>
      <c r="L214" s="506"/>
      <c r="M214" s="506"/>
      <c r="N214" s="506"/>
      <c r="O214" s="506"/>
      <c r="P214" s="100"/>
      <c r="Q214" s="100"/>
      <c r="R214" s="300"/>
      <c r="U214" s="459"/>
    </row>
    <row r="215" spans="2:22" s="458" customFormat="1" ht="21.95" customHeight="1" x14ac:dyDescent="0.25">
      <c r="B215" s="268" t="e">
        <f>B207+1</f>
        <v>#REF!</v>
      </c>
      <c r="C215" s="53" t="s">
        <v>175</v>
      </c>
      <c r="D215" s="296">
        <v>3150</v>
      </c>
      <c r="E215" s="297">
        <v>1500</v>
      </c>
      <c r="F215" s="296">
        <v>3370</v>
      </c>
      <c r="G215" s="296">
        <f t="shared" si="34"/>
        <v>1870</v>
      </c>
      <c r="H215" s="296">
        <f>F215</f>
        <v>3370</v>
      </c>
      <c r="I215" s="19" t="s">
        <v>95</v>
      </c>
      <c r="P215" s="296">
        <f>H215</f>
        <v>3370</v>
      </c>
      <c r="Q215" s="296">
        <f>H215</f>
        <v>3370</v>
      </c>
      <c r="R215" s="300"/>
      <c r="S215" s="458" t="s">
        <v>814</v>
      </c>
      <c r="T215" s="496">
        <v>44782</v>
      </c>
      <c r="U215" s="495">
        <v>3150</v>
      </c>
    </row>
    <row r="216" spans="2:22" s="458" customFormat="1" ht="21.95" customHeight="1" x14ac:dyDescent="0.25">
      <c r="B216" s="268" t="e">
        <f>B208+1</f>
        <v>#REF!</v>
      </c>
      <c r="C216" s="53" t="s">
        <v>176</v>
      </c>
      <c r="D216" s="296">
        <v>3711.0699999999997</v>
      </c>
      <c r="E216" s="297">
        <v>3233</v>
      </c>
      <c r="F216" s="296">
        <v>4008.88</v>
      </c>
      <c r="G216" s="296">
        <f t="shared" si="34"/>
        <v>775.88000000000011</v>
      </c>
      <c r="H216" s="296">
        <f>F216</f>
        <v>4008.88</v>
      </c>
      <c r="I216" s="19" t="s">
        <v>95</v>
      </c>
      <c r="P216" s="296">
        <f>H216</f>
        <v>4008.88</v>
      </c>
      <c r="Q216" s="296">
        <f>H216</f>
        <v>4008.88</v>
      </c>
      <c r="R216" s="300"/>
      <c r="S216" s="458" t="s">
        <v>815</v>
      </c>
      <c r="T216" s="496">
        <v>44408</v>
      </c>
      <c r="U216" s="495">
        <f>(798.5+50)*4+500</f>
        <v>3894</v>
      </c>
      <c r="V216" s="458" t="s">
        <v>816</v>
      </c>
    </row>
    <row r="217" spans="2:22" s="458" customFormat="1" ht="21.95" customHeight="1" x14ac:dyDescent="0.25">
      <c r="B217" s="268" t="e">
        <f>B214+1</f>
        <v>#REF!</v>
      </c>
      <c r="C217" s="53" t="s">
        <v>178</v>
      </c>
      <c r="D217" s="296">
        <v>0</v>
      </c>
      <c r="E217" s="297">
        <v>1394</v>
      </c>
      <c r="F217" s="296">
        <v>0</v>
      </c>
      <c r="G217" s="296">
        <f t="shared" si="34"/>
        <v>-1394</v>
      </c>
      <c r="H217" s="296"/>
      <c r="I217" s="458" t="s">
        <v>819</v>
      </c>
      <c r="P217" s="296"/>
      <c r="Q217" s="296"/>
      <c r="R217" s="300"/>
      <c r="U217" s="459"/>
    </row>
    <row r="218" spans="2:22" s="458" customFormat="1" ht="21.95" customHeight="1" x14ac:dyDescent="0.25">
      <c r="B218" s="268" t="e">
        <f>B216+1</f>
        <v>#REF!</v>
      </c>
      <c r="C218" s="53" t="s">
        <v>821</v>
      </c>
      <c r="D218" s="296">
        <v>6942.5</v>
      </c>
      <c r="E218" s="297">
        <v>0</v>
      </c>
      <c r="F218" s="296">
        <v>6942.5</v>
      </c>
      <c r="G218" s="296">
        <f t="shared" si="34"/>
        <v>6942.5</v>
      </c>
      <c r="H218" s="296">
        <v>1500</v>
      </c>
      <c r="I218" s="19" t="s">
        <v>95</v>
      </c>
      <c r="P218" s="296">
        <v>1500</v>
      </c>
      <c r="Q218" s="296">
        <v>1500</v>
      </c>
      <c r="R218" s="300"/>
      <c r="S218" s="458" t="s">
        <v>822</v>
      </c>
      <c r="T218" s="496">
        <v>44561</v>
      </c>
      <c r="U218" s="495">
        <v>6943</v>
      </c>
      <c r="V218" s="458" t="s">
        <v>823</v>
      </c>
    </row>
    <row r="219" spans="2:22" s="458" customFormat="1" ht="21.95" customHeight="1" x14ac:dyDescent="0.25">
      <c r="B219" s="268"/>
      <c r="C219" s="53" t="s">
        <v>824</v>
      </c>
      <c r="D219" s="296">
        <v>156</v>
      </c>
      <c r="E219" s="297">
        <v>0</v>
      </c>
      <c r="F219" s="296">
        <v>154.91</v>
      </c>
      <c r="G219" s="296">
        <f>F219-E219</f>
        <v>154.91</v>
      </c>
      <c r="H219" s="296">
        <f>F219</f>
        <v>154.91</v>
      </c>
      <c r="I219" s="19" t="s">
        <v>95</v>
      </c>
      <c r="P219" s="296">
        <f>H219</f>
        <v>154.91</v>
      </c>
      <c r="Q219" s="296">
        <f>H219</f>
        <v>154.91</v>
      </c>
      <c r="R219" s="300"/>
      <c r="S219" s="458" t="s">
        <v>825</v>
      </c>
      <c r="T219" s="496">
        <v>46022</v>
      </c>
      <c r="U219" s="495">
        <v>155</v>
      </c>
    </row>
    <row r="220" spans="2:22" s="458" customFormat="1" ht="21.95" customHeight="1" x14ac:dyDescent="0.25">
      <c r="B220" s="268"/>
      <c r="C220" s="53" t="s">
        <v>826</v>
      </c>
      <c r="D220" s="296">
        <v>1207.25</v>
      </c>
      <c r="E220" s="297">
        <v>0</v>
      </c>
      <c r="F220" s="296">
        <v>1207.25</v>
      </c>
      <c r="G220" s="296">
        <f>F220-E220</f>
        <v>1207.25</v>
      </c>
      <c r="H220" s="296">
        <f>F220</f>
        <v>1207.25</v>
      </c>
      <c r="I220" s="19" t="s">
        <v>95</v>
      </c>
      <c r="P220" s="296">
        <f>H220</f>
        <v>1207.25</v>
      </c>
      <c r="Q220" s="296">
        <f>H220</f>
        <v>1207.25</v>
      </c>
      <c r="R220" s="300"/>
      <c r="S220" s="458" t="s">
        <v>827</v>
      </c>
      <c r="U220" s="459">
        <v>1500</v>
      </c>
    </row>
    <row r="221" spans="2:22" s="458" customFormat="1" ht="33" customHeight="1" x14ac:dyDescent="0.25">
      <c r="B221" s="268"/>
      <c r="C221" s="53" t="s">
        <v>828</v>
      </c>
      <c r="D221" s="296">
        <v>5160</v>
      </c>
      <c r="E221" s="297">
        <v>0</v>
      </c>
      <c r="F221" s="296">
        <v>5160</v>
      </c>
      <c r="G221" s="296">
        <f>F221-E221</f>
        <v>5160</v>
      </c>
      <c r="H221" s="296">
        <f>200*12</f>
        <v>2400</v>
      </c>
      <c r="I221" s="19" t="s">
        <v>95</v>
      </c>
      <c r="P221" s="296">
        <f>H221</f>
        <v>2400</v>
      </c>
      <c r="Q221" s="296">
        <f>H221</f>
        <v>2400</v>
      </c>
      <c r="R221" s="300"/>
      <c r="S221" s="458" t="s">
        <v>829</v>
      </c>
      <c r="T221" s="458" t="s">
        <v>830</v>
      </c>
      <c r="U221" s="495">
        <f>200*12</f>
        <v>2400</v>
      </c>
    </row>
    <row r="222" spans="2:22" s="458" customFormat="1" ht="21.95" customHeight="1" x14ac:dyDescent="0.25">
      <c r="B222" s="268"/>
      <c r="C222" s="226" t="s">
        <v>833</v>
      </c>
      <c r="D222" s="302"/>
      <c r="E222" s="303"/>
      <c r="F222" s="302"/>
      <c r="G222" s="296">
        <f>F222-E222</f>
        <v>0</v>
      </c>
      <c r="H222" s="302">
        <f>60000+30000</f>
        <v>90000</v>
      </c>
      <c r="I222" s="19"/>
      <c r="N222" s="528">
        <f>SUM(H212:H222)</f>
        <v>106015.98</v>
      </c>
      <c r="P222" s="302">
        <f>H222</f>
        <v>90000</v>
      </c>
      <c r="Q222" s="296">
        <f>H222</f>
        <v>90000</v>
      </c>
      <c r="R222" s="519"/>
      <c r="U222" s="459"/>
    </row>
    <row r="223" spans="2:22" s="458" customFormat="1" ht="21.95" customHeight="1" x14ac:dyDescent="0.25">
      <c r="B223" s="268"/>
      <c r="C223" s="53"/>
      <c r="D223" s="296"/>
      <c r="E223" s="297"/>
      <c r="F223" s="296"/>
      <c r="G223" s="296"/>
      <c r="H223" s="296"/>
      <c r="I223" s="19"/>
      <c r="P223" s="296"/>
      <c r="Q223" s="296"/>
      <c r="R223" s="300"/>
      <c r="T223" s="496"/>
      <c r="U223" s="495"/>
    </row>
    <row r="224" spans="2:22" s="458" customFormat="1" ht="21.95" customHeight="1" x14ac:dyDescent="0.25">
      <c r="B224" s="268" t="e">
        <f>B209+1</f>
        <v>#REF!</v>
      </c>
      <c r="C224" s="53" t="s">
        <v>831</v>
      </c>
      <c r="D224" s="296">
        <v>135</v>
      </c>
      <c r="E224" s="297">
        <v>0</v>
      </c>
      <c r="F224" s="296">
        <v>135</v>
      </c>
      <c r="G224" s="296">
        <f t="shared" si="34"/>
        <v>135</v>
      </c>
      <c r="H224" s="296">
        <f>15*12</f>
        <v>180</v>
      </c>
      <c r="I224" s="19" t="s">
        <v>95</v>
      </c>
      <c r="N224" s="458" t="s">
        <v>353</v>
      </c>
      <c r="P224" s="296">
        <f t="shared" ref="P224:P225" si="48">H224</f>
        <v>180</v>
      </c>
      <c r="Q224" s="296">
        <f t="shared" ref="Q224:Q225" si="49">H224</f>
        <v>180</v>
      </c>
      <c r="R224" s="300"/>
      <c r="U224" s="459"/>
    </row>
    <row r="225" spans="2:21" s="458" customFormat="1" ht="21.95" customHeight="1" x14ac:dyDescent="0.25">
      <c r="B225" s="268"/>
      <c r="C225" s="226" t="s">
        <v>832</v>
      </c>
      <c r="D225" s="302"/>
      <c r="E225" s="303"/>
      <c r="F225" s="302"/>
      <c r="G225" s="296">
        <f t="shared" si="34"/>
        <v>0</v>
      </c>
      <c r="H225" s="302"/>
      <c r="I225" s="19"/>
      <c r="P225" s="296">
        <f t="shared" si="48"/>
        <v>0</v>
      </c>
      <c r="Q225" s="296">
        <f t="shared" si="49"/>
        <v>0</v>
      </c>
      <c r="R225" s="519"/>
      <c r="U225" s="459"/>
    </row>
    <row r="226" spans="2:21" s="459" customFormat="1" ht="21.95" customHeight="1" x14ac:dyDescent="0.25">
      <c r="B226" s="268" t="e">
        <f>B167+1</f>
        <v>#REF!</v>
      </c>
      <c r="C226" s="269" t="s">
        <v>142</v>
      </c>
      <c r="D226" s="296">
        <v>4466.5899999999992</v>
      </c>
      <c r="E226" s="297">
        <v>4474</v>
      </c>
      <c r="F226" s="296">
        <v>4292.8100000000004</v>
      </c>
      <c r="G226" s="296">
        <f>F226-E226</f>
        <v>-181.1899999999996</v>
      </c>
      <c r="H226" s="296">
        <f>F226</f>
        <v>4292.8100000000004</v>
      </c>
      <c r="I226" s="19" t="s">
        <v>95</v>
      </c>
      <c r="J226" s="458"/>
      <c r="K226" s="458"/>
      <c r="L226" s="458"/>
      <c r="M226" s="458"/>
      <c r="N226" s="458"/>
      <c r="O226" s="458"/>
      <c r="P226" s="296">
        <f>H226</f>
        <v>4292.8100000000004</v>
      </c>
      <c r="Q226" s="296">
        <f>P226</f>
        <v>4292.8100000000004</v>
      </c>
      <c r="R226" s="300"/>
      <c r="S226" s="458" t="s">
        <v>777</v>
      </c>
      <c r="T226" s="458"/>
    </row>
    <row r="227" spans="2:21" s="459" customFormat="1" ht="21.95" customHeight="1" x14ac:dyDescent="0.25">
      <c r="B227" s="268"/>
      <c r="C227" s="269"/>
      <c r="D227" s="296"/>
      <c r="E227" s="297"/>
      <c r="F227" s="296"/>
      <c r="G227" s="296"/>
      <c r="H227" s="296"/>
      <c r="I227" s="19"/>
      <c r="J227" s="458"/>
      <c r="K227" s="458"/>
      <c r="L227" s="458"/>
      <c r="M227" s="458"/>
      <c r="N227" s="458"/>
      <c r="O227" s="458"/>
      <c r="P227" s="296"/>
      <c r="Q227" s="296"/>
      <c r="R227" s="300"/>
      <c r="S227" s="458"/>
      <c r="T227" s="458"/>
    </row>
    <row r="228" spans="2:21" s="459" customFormat="1" ht="21.95" customHeight="1" x14ac:dyDescent="0.25">
      <c r="B228" s="268" t="e">
        <f>B171+1</f>
        <v>#REF!</v>
      </c>
      <c r="C228" s="269" t="s">
        <v>143</v>
      </c>
      <c r="D228" s="296">
        <v>16702.41</v>
      </c>
      <c r="E228" s="297">
        <v>14007</v>
      </c>
      <c r="F228" s="296">
        <v>20028.830000000002</v>
      </c>
      <c r="G228" s="296">
        <f>F228-E228</f>
        <v>6021.8300000000017</v>
      </c>
      <c r="H228" s="296">
        <f>F228</f>
        <v>20028.830000000002</v>
      </c>
      <c r="I228" s="19" t="s">
        <v>95</v>
      </c>
      <c r="J228" s="458"/>
      <c r="K228" s="458"/>
      <c r="L228" s="458"/>
      <c r="M228" s="458"/>
      <c r="N228" s="458"/>
      <c r="O228" s="458"/>
      <c r="P228" s="296">
        <f>H228</f>
        <v>20028.830000000002</v>
      </c>
      <c r="Q228" s="296">
        <f>P228</f>
        <v>20028.830000000002</v>
      </c>
      <c r="R228" s="300"/>
      <c r="S228" s="458" t="s">
        <v>779</v>
      </c>
      <c r="T228" s="458" t="s">
        <v>741</v>
      </c>
    </row>
    <row r="229" spans="2:21" s="459" customFormat="1" ht="25.5" customHeight="1" x14ac:dyDescent="0.25">
      <c r="B229" s="268"/>
      <c r="C229" s="295" t="s">
        <v>785</v>
      </c>
      <c r="D229" s="296"/>
      <c r="E229" s="297"/>
      <c r="F229" s="296"/>
      <c r="G229" s="296"/>
      <c r="H229" s="298">
        <v>30000</v>
      </c>
      <c r="I229" s="299"/>
      <c r="J229" s="299"/>
      <c r="K229" s="299"/>
      <c r="L229" s="299"/>
      <c r="M229" s="299"/>
      <c r="N229" s="549">
        <f>SUM(H228:H229)</f>
        <v>50028.83</v>
      </c>
      <c r="O229" s="299"/>
      <c r="P229" s="298">
        <v>30000</v>
      </c>
      <c r="Q229" s="298">
        <v>30000</v>
      </c>
      <c r="R229" s="300"/>
      <c r="S229" s="458"/>
      <c r="T229" s="458"/>
    </row>
    <row r="230" spans="2:21" s="458" customFormat="1" ht="21.95" customHeight="1" x14ac:dyDescent="0.25">
      <c r="B230" s="268"/>
      <c r="C230" s="498"/>
      <c r="D230" s="520"/>
      <c r="E230" s="500">
        <f>SUM(E182:E225)</f>
        <v>290003</v>
      </c>
      <c r="F230" s="499">
        <f>SUM(F182:F225)</f>
        <v>238496.07</v>
      </c>
      <c r="G230" s="521">
        <f>F230-E230</f>
        <v>-51506.929999999993</v>
      </c>
      <c r="H230" s="500"/>
      <c r="I230" s="19"/>
      <c r="P230" s="500">
        <f>SUM(P182:P225)</f>
        <v>289582.43000000005</v>
      </c>
      <c r="Q230" s="500">
        <f>SUM(Q182:Q225)</f>
        <v>289582.43000000005</v>
      </c>
      <c r="R230" s="522"/>
      <c r="U230" s="459"/>
    </row>
    <row r="231" spans="2:21" s="458" customFormat="1" ht="21.95" customHeight="1" x14ac:dyDescent="0.25">
      <c r="B231" s="268"/>
      <c r="C231" s="498"/>
      <c r="D231" s="520"/>
      <c r="E231" s="500"/>
      <c r="F231" s="499"/>
      <c r="G231" s="521"/>
      <c r="H231" s="500"/>
      <c r="I231" s="19"/>
      <c r="P231" s="500"/>
      <c r="Q231" s="500"/>
      <c r="R231" s="522"/>
      <c r="U231" s="459"/>
    </row>
    <row r="232" spans="2:21" s="458" customFormat="1" ht="21.95" customHeight="1" x14ac:dyDescent="0.25">
      <c r="B232" s="268" t="e">
        <f>#REF!+1</f>
        <v>#REF!</v>
      </c>
      <c r="C232" s="53" t="s">
        <v>203</v>
      </c>
      <c r="D232" s="52">
        <v>8153.6</v>
      </c>
      <c r="E232" s="239">
        <v>7746</v>
      </c>
      <c r="F232" s="52">
        <v>8361.65</v>
      </c>
      <c r="G232" s="52">
        <f>F232-E232</f>
        <v>615.64999999999964</v>
      </c>
      <c r="H232" s="52">
        <f>F232</f>
        <v>8361.65</v>
      </c>
      <c r="I232" s="19" t="s">
        <v>95</v>
      </c>
      <c r="P232" s="52">
        <f>F232</f>
        <v>8361.65</v>
      </c>
      <c r="Q232" s="52">
        <f>F232</f>
        <v>8361.65</v>
      </c>
      <c r="R232" s="240"/>
      <c r="S232" s="458" t="s">
        <v>815</v>
      </c>
      <c r="T232" s="496">
        <v>44773</v>
      </c>
      <c r="U232" s="495">
        <f>2038.4*4+208.05*2</f>
        <v>8569.7000000000007</v>
      </c>
    </row>
    <row r="233" spans="2:21" s="458" customFormat="1" ht="46.5" customHeight="1" x14ac:dyDescent="0.25">
      <c r="B233" s="268"/>
      <c r="C233" s="226" t="s">
        <v>916</v>
      </c>
      <c r="D233" s="52"/>
      <c r="E233" s="239"/>
      <c r="F233" s="52"/>
      <c r="G233" s="52">
        <f t="shared" ref="G233:G234" si="50">F233-E233</f>
        <v>0</v>
      </c>
      <c r="H233" s="228">
        <f>10*1000</f>
        <v>10000</v>
      </c>
      <c r="I233" s="19" t="s">
        <v>95</v>
      </c>
      <c r="P233" s="228">
        <f>10*1000</f>
        <v>10000</v>
      </c>
      <c r="Q233" s="228">
        <f>10*1000</f>
        <v>10000</v>
      </c>
      <c r="R233" s="229"/>
      <c r="T233" s="496"/>
      <c r="U233" s="495"/>
    </row>
    <row r="234" spans="2:21" s="458" customFormat="1" ht="21.95" customHeight="1" x14ac:dyDescent="0.25">
      <c r="B234" s="268"/>
      <c r="C234" s="226" t="s">
        <v>917</v>
      </c>
      <c r="D234" s="52"/>
      <c r="E234" s="239"/>
      <c r="F234" s="52"/>
      <c r="G234" s="52">
        <f t="shared" si="50"/>
        <v>0</v>
      </c>
      <c r="H234" s="228">
        <v>15000</v>
      </c>
      <c r="I234" s="19"/>
      <c r="P234" s="228">
        <v>15000</v>
      </c>
      <c r="Q234" s="228">
        <v>15000</v>
      </c>
      <c r="R234" s="229"/>
      <c r="T234" s="496"/>
      <c r="U234" s="495"/>
    </row>
    <row r="235" spans="2:21" s="458" customFormat="1" ht="33" customHeight="1" x14ac:dyDescent="0.25">
      <c r="B235" s="268"/>
      <c r="C235" s="226" t="s">
        <v>918</v>
      </c>
      <c r="D235" s="52"/>
      <c r="E235" s="239"/>
      <c r="F235" s="52"/>
      <c r="G235" s="52"/>
      <c r="H235" s="228">
        <f>3588.48</f>
        <v>3588.48</v>
      </c>
      <c r="I235" s="19"/>
      <c r="P235" s="228">
        <f>3588.48</f>
        <v>3588.48</v>
      </c>
      <c r="Q235" s="228">
        <f>3588.48</f>
        <v>3588.48</v>
      </c>
      <c r="R235" s="229"/>
      <c r="T235" s="496"/>
      <c r="U235" s="495"/>
    </row>
    <row r="236" spans="2:21" s="458" customFormat="1" ht="31.5" customHeight="1" x14ac:dyDescent="0.25">
      <c r="B236" s="268"/>
      <c r="C236" s="226" t="s">
        <v>919</v>
      </c>
      <c r="D236" s="52"/>
      <c r="E236" s="239"/>
      <c r="F236" s="52"/>
      <c r="G236" s="52"/>
      <c r="H236" s="228">
        <f>1235</f>
        <v>1235</v>
      </c>
      <c r="I236" s="19"/>
      <c r="P236" s="228">
        <f>1235</f>
        <v>1235</v>
      </c>
      <c r="Q236" s="228">
        <f>1235</f>
        <v>1235</v>
      </c>
      <c r="R236" s="229"/>
      <c r="T236" s="496"/>
      <c r="U236" s="495"/>
    </row>
    <row r="237" spans="2:21" s="458" customFormat="1" ht="24.75" customHeight="1" x14ac:dyDescent="0.25">
      <c r="B237" s="268"/>
      <c r="C237" s="226" t="s">
        <v>920</v>
      </c>
      <c r="D237" s="52"/>
      <c r="E237" s="239"/>
      <c r="F237" s="52"/>
      <c r="G237" s="52"/>
      <c r="H237" s="228">
        <v>3357</v>
      </c>
      <c r="I237" s="19"/>
      <c r="P237" s="228">
        <v>3357</v>
      </c>
      <c r="Q237" s="228">
        <v>3357</v>
      </c>
      <c r="R237" s="229"/>
      <c r="T237" s="496"/>
      <c r="U237" s="495"/>
    </row>
    <row r="238" spans="2:21" s="458" customFormat="1" ht="47.25" customHeight="1" x14ac:dyDescent="0.25">
      <c r="B238" s="268"/>
      <c r="C238" s="255" t="s">
        <v>921</v>
      </c>
      <c r="D238" s="256"/>
      <c r="E238" s="364"/>
      <c r="F238" s="256"/>
      <c r="G238" s="256"/>
      <c r="H238" s="365">
        <v>10000</v>
      </c>
      <c r="I238" s="299"/>
      <c r="J238" s="299"/>
      <c r="K238" s="299"/>
      <c r="L238" s="299"/>
      <c r="M238" s="299"/>
      <c r="N238" s="528">
        <f>SUM(H232:H238)</f>
        <v>51542.130000000005</v>
      </c>
      <c r="O238" s="550" t="s">
        <v>1001</v>
      </c>
      <c r="P238" s="365">
        <v>4000</v>
      </c>
      <c r="Q238" s="365">
        <v>4000</v>
      </c>
      <c r="R238" s="229"/>
      <c r="T238" s="496"/>
      <c r="U238" s="495"/>
    </row>
    <row r="239" spans="2:21" s="458" customFormat="1" ht="21.95" customHeight="1" x14ac:dyDescent="0.25">
      <c r="B239" s="268" t="e">
        <f>#REF!+1</f>
        <v>#REF!</v>
      </c>
      <c r="C239" s="53" t="s">
        <v>255</v>
      </c>
      <c r="D239" s="426">
        <v>2</v>
      </c>
      <c r="E239" s="239">
        <v>2</v>
      </c>
      <c r="F239" s="52">
        <v>6</v>
      </c>
      <c r="G239" s="52">
        <f>F239-E239</f>
        <v>4</v>
      </c>
      <c r="H239" s="426">
        <f>F239</f>
        <v>6</v>
      </c>
      <c r="I239" s="19" t="s">
        <v>41</v>
      </c>
      <c r="N239" s="458" t="s">
        <v>354</v>
      </c>
      <c r="P239" s="426">
        <v>6</v>
      </c>
      <c r="Q239" s="426">
        <v>6</v>
      </c>
      <c r="R239" s="427"/>
      <c r="U239" s="459"/>
    </row>
    <row r="240" spans="2:21" s="458" customFormat="1" ht="21.95" customHeight="1" x14ac:dyDescent="0.25">
      <c r="B240" s="268" t="e">
        <f>#REF!+1</f>
        <v>#REF!</v>
      </c>
      <c r="C240" s="53" t="s">
        <v>979</v>
      </c>
      <c r="D240" s="426">
        <v>0</v>
      </c>
      <c r="E240" s="239">
        <v>0</v>
      </c>
      <c r="F240" s="52">
        <v>0</v>
      </c>
      <c r="G240" s="52">
        <f t="shared" ref="G240:G267" si="51">F240-E240</f>
        <v>0</v>
      </c>
      <c r="H240" s="426">
        <v>0</v>
      </c>
      <c r="I240" s="19" t="s">
        <v>41</v>
      </c>
      <c r="N240" s="458" t="s">
        <v>354</v>
      </c>
      <c r="P240" s="426">
        <v>0</v>
      </c>
      <c r="Q240" s="426">
        <v>0</v>
      </c>
      <c r="R240" s="427"/>
      <c r="U240" s="459"/>
    </row>
    <row r="241" spans="2:22" s="458" customFormat="1" ht="21.95" customHeight="1" x14ac:dyDescent="0.25">
      <c r="B241" s="268" t="e">
        <f>#REF!+1</f>
        <v>#REF!</v>
      </c>
      <c r="C241" s="53" t="s">
        <v>256</v>
      </c>
      <c r="D241" s="426">
        <v>0</v>
      </c>
      <c r="E241" s="239">
        <v>122</v>
      </c>
      <c r="F241" s="52">
        <v>0</v>
      </c>
      <c r="G241" s="52">
        <f t="shared" si="51"/>
        <v>-122</v>
      </c>
      <c r="H241" s="426">
        <f>'[1]84,05,20 IMPOSTA REGISTRO'!P1</f>
        <v>0</v>
      </c>
      <c r="I241" s="19" t="s">
        <v>41</v>
      </c>
      <c r="N241" s="458" t="s">
        <v>354</v>
      </c>
      <c r="P241" s="426">
        <v>0</v>
      </c>
      <c r="Q241" s="426">
        <v>0</v>
      </c>
      <c r="R241" s="427"/>
      <c r="U241" s="459"/>
    </row>
    <row r="242" spans="2:22" s="458" customFormat="1" ht="21.95" customHeight="1" x14ac:dyDescent="0.25">
      <c r="B242" s="268" t="e">
        <f>#REF!+1</f>
        <v>#REF!</v>
      </c>
      <c r="C242" s="53" t="s">
        <v>257</v>
      </c>
      <c r="D242" s="426">
        <v>1910</v>
      </c>
      <c r="E242" s="239">
        <v>2593</v>
      </c>
      <c r="F242" s="52">
        <v>1910</v>
      </c>
      <c r="G242" s="52">
        <f t="shared" si="51"/>
        <v>-683</v>
      </c>
      <c r="H242" s="426">
        <f>F242</f>
        <v>1910</v>
      </c>
      <c r="I242" s="19" t="s">
        <v>41</v>
      </c>
      <c r="N242" s="458" t="s">
        <v>354</v>
      </c>
      <c r="P242" s="426">
        <v>1910</v>
      </c>
      <c r="Q242" s="426">
        <v>1910</v>
      </c>
      <c r="R242" s="427"/>
      <c r="U242" s="459"/>
    </row>
    <row r="243" spans="2:22" s="458" customFormat="1" ht="21.95" customHeight="1" x14ac:dyDescent="0.25">
      <c r="B243" s="268" t="e">
        <f t="shared" ref="B243:B267" si="52">B239+1</f>
        <v>#REF!</v>
      </c>
      <c r="C243" s="53" t="s">
        <v>258</v>
      </c>
      <c r="D243" s="426">
        <v>907</v>
      </c>
      <c r="E243" s="239">
        <v>407</v>
      </c>
      <c r="F243" s="52">
        <v>906.85</v>
      </c>
      <c r="G243" s="52">
        <f t="shared" si="51"/>
        <v>499.85</v>
      </c>
      <c r="H243" s="426">
        <f t="shared" ref="H243:H248" si="53">F243</f>
        <v>906.85</v>
      </c>
      <c r="I243" s="19" t="s">
        <v>41</v>
      </c>
      <c r="N243" s="458" t="s">
        <v>354</v>
      </c>
      <c r="P243" s="426">
        <v>906.85</v>
      </c>
      <c r="Q243" s="426">
        <v>906.85</v>
      </c>
      <c r="R243" s="427"/>
      <c r="U243" s="459"/>
    </row>
    <row r="244" spans="2:22" s="458" customFormat="1" ht="21.95" customHeight="1" x14ac:dyDescent="0.25">
      <c r="B244" s="268" t="e">
        <f t="shared" si="52"/>
        <v>#REF!</v>
      </c>
      <c r="C244" s="53" t="s">
        <v>259</v>
      </c>
      <c r="D244" s="426">
        <v>1462</v>
      </c>
      <c r="E244" s="239">
        <v>1691</v>
      </c>
      <c r="F244" s="52">
        <v>4552.2299999999996</v>
      </c>
      <c r="G244" s="52">
        <f t="shared" si="51"/>
        <v>2861.2299999999996</v>
      </c>
      <c r="H244" s="426">
        <f t="shared" si="53"/>
        <v>4552.2299999999996</v>
      </c>
      <c r="I244" s="19" t="s">
        <v>41</v>
      </c>
      <c r="N244" s="458" t="s">
        <v>354</v>
      </c>
      <c r="P244" s="426">
        <v>4552.2299999999996</v>
      </c>
      <c r="Q244" s="426">
        <v>4552.2299999999996</v>
      </c>
      <c r="R244" s="427"/>
      <c r="U244" s="459"/>
    </row>
    <row r="245" spans="2:22" s="458" customFormat="1" ht="21.95" customHeight="1" x14ac:dyDescent="0.25">
      <c r="B245" s="268" t="e">
        <f t="shared" si="52"/>
        <v>#REF!</v>
      </c>
      <c r="C245" s="53" t="s">
        <v>260</v>
      </c>
      <c r="D245" s="426">
        <v>409</v>
      </c>
      <c r="E245" s="239">
        <v>259</v>
      </c>
      <c r="F245" s="52">
        <v>194.81</v>
      </c>
      <c r="G245" s="52">
        <f t="shared" si="51"/>
        <v>-64.19</v>
      </c>
      <c r="H245" s="426">
        <f t="shared" si="53"/>
        <v>194.81</v>
      </c>
      <c r="I245" s="19" t="s">
        <v>41</v>
      </c>
      <c r="N245" s="458" t="s">
        <v>354</v>
      </c>
      <c r="P245" s="426">
        <v>194.81</v>
      </c>
      <c r="Q245" s="426">
        <v>194.81</v>
      </c>
      <c r="R245" s="427"/>
      <c r="U245" s="459"/>
    </row>
    <row r="246" spans="2:22" s="458" customFormat="1" ht="21.95" customHeight="1" x14ac:dyDescent="0.25">
      <c r="B246" s="268" t="e">
        <f t="shared" si="52"/>
        <v>#REF!</v>
      </c>
      <c r="C246" s="53" t="s">
        <v>261</v>
      </c>
      <c r="D246" s="426">
        <v>1035</v>
      </c>
      <c r="E246" s="239">
        <v>1036</v>
      </c>
      <c r="F246" s="52">
        <v>779.26</v>
      </c>
      <c r="G246" s="52">
        <f t="shared" si="51"/>
        <v>-256.74</v>
      </c>
      <c r="H246" s="426">
        <f t="shared" si="53"/>
        <v>779.26</v>
      </c>
      <c r="I246" s="19" t="s">
        <v>41</v>
      </c>
      <c r="N246" s="458" t="s">
        <v>354</v>
      </c>
      <c r="P246" s="426">
        <v>779.26</v>
      </c>
      <c r="Q246" s="426">
        <v>779.26</v>
      </c>
      <c r="R246" s="427"/>
      <c r="U246" s="459"/>
    </row>
    <row r="247" spans="2:22" s="458" customFormat="1" ht="21.95" customHeight="1" x14ac:dyDescent="0.25">
      <c r="B247" s="268" t="e">
        <f t="shared" si="52"/>
        <v>#REF!</v>
      </c>
      <c r="C247" s="53" t="s">
        <v>262</v>
      </c>
      <c r="D247" s="426">
        <v>1719</v>
      </c>
      <c r="E247" s="239">
        <v>1413</v>
      </c>
      <c r="F247" s="52">
        <v>1719.48</v>
      </c>
      <c r="G247" s="52">
        <f t="shared" si="51"/>
        <v>306.48</v>
      </c>
      <c r="H247" s="426">
        <f t="shared" si="53"/>
        <v>1719.48</v>
      </c>
      <c r="I247" s="19" t="s">
        <v>41</v>
      </c>
      <c r="N247" s="458" t="s">
        <v>354</v>
      </c>
      <c r="P247" s="426">
        <v>1719.48</v>
      </c>
      <c r="Q247" s="426">
        <v>1719.48</v>
      </c>
      <c r="R247" s="427"/>
      <c r="U247" s="459"/>
    </row>
    <row r="248" spans="2:22" s="458" customFormat="1" ht="21.95" customHeight="1" x14ac:dyDescent="0.25">
      <c r="B248" s="268" t="e">
        <f t="shared" si="52"/>
        <v>#REF!</v>
      </c>
      <c r="C248" s="53" t="s">
        <v>263</v>
      </c>
      <c r="D248" s="426">
        <v>516.46</v>
      </c>
      <c r="E248" s="239">
        <v>516</v>
      </c>
      <c r="F248" s="52">
        <v>516.46</v>
      </c>
      <c r="G248" s="52">
        <f t="shared" si="51"/>
        <v>0.46000000000003638</v>
      </c>
      <c r="H248" s="426">
        <f t="shared" si="53"/>
        <v>516.46</v>
      </c>
      <c r="I248" s="19" t="s">
        <v>41</v>
      </c>
      <c r="N248" s="458" t="s">
        <v>354</v>
      </c>
      <c r="P248" s="426">
        <v>516.46</v>
      </c>
      <c r="Q248" s="426">
        <v>516.46</v>
      </c>
      <c r="R248" s="427"/>
      <c r="U248" s="459"/>
    </row>
    <row r="249" spans="2:22" s="458" customFormat="1" ht="21.95" customHeight="1" x14ac:dyDescent="0.25">
      <c r="B249" s="268" t="e">
        <f t="shared" si="52"/>
        <v>#REF!</v>
      </c>
      <c r="C249" s="53" t="s">
        <v>264</v>
      </c>
      <c r="D249" s="426">
        <v>74523</v>
      </c>
      <c r="E249" s="239">
        <v>149046</v>
      </c>
      <c r="F249" s="52">
        <v>74523</v>
      </c>
      <c r="G249" s="52">
        <f t="shared" si="51"/>
        <v>-74523</v>
      </c>
      <c r="H249" s="426">
        <f>F249*2</f>
        <v>149046</v>
      </c>
      <c r="I249" s="19" t="s">
        <v>980</v>
      </c>
      <c r="N249" s="458" t="s">
        <v>354</v>
      </c>
      <c r="P249" s="426">
        <v>149046</v>
      </c>
      <c r="Q249" s="426">
        <v>149046</v>
      </c>
      <c r="R249" s="427"/>
      <c r="U249" s="459"/>
    </row>
    <row r="250" spans="2:22" s="458" customFormat="1" ht="21.95" customHeight="1" x14ac:dyDescent="0.25">
      <c r="B250" s="268" t="e">
        <f t="shared" si="52"/>
        <v>#REF!</v>
      </c>
      <c r="C250" s="53" t="s">
        <v>265</v>
      </c>
      <c r="D250" s="426">
        <v>750</v>
      </c>
      <c r="E250" s="239">
        <v>3815</v>
      </c>
      <c r="F250" s="52">
        <v>0</v>
      </c>
      <c r="G250" s="52">
        <f t="shared" si="51"/>
        <v>-3815</v>
      </c>
      <c r="H250" s="426">
        <f>'[1]84,10,005 PERDITE SU CREDITI'!P1</f>
        <v>0</v>
      </c>
      <c r="I250" s="19" t="s">
        <v>41</v>
      </c>
      <c r="N250" s="458" t="s">
        <v>354</v>
      </c>
      <c r="P250" s="426">
        <v>0</v>
      </c>
      <c r="Q250" s="426">
        <v>0</v>
      </c>
      <c r="R250" s="427"/>
      <c r="U250" s="459"/>
    </row>
    <row r="251" spans="2:22" s="458" customFormat="1" ht="21.95" customHeight="1" x14ac:dyDescent="0.25">
      <c r="B251" s="268" t="e">
        <f t="shared" si="52"/>
        <v>#REF!</v>
      </c>
      <c r="C251" s="53" t="s">
        <v>266</v>
      </c>
      <c r="D251" s="426">
        <v>3023</v>
      </c>
      <c r="E251" s="239">
        <v>4528</v>
      </c>
      <c r="F251" s="52">
        <v>3047.49</v>
      </c>
      <c r="G251" s="52">
        <f t="shared" si="51"/>
        <v>-1480.5100000000002</v>
      </c>
      <c r="H251" s="426">
        <f t="shared" ref="H251:H261" si="54">F251</f>
        <v>3047.49</v>
      </c>
      <c r="I251" s="19" t="s">
        <v>41</v>
      </c>
      <c r="P251" s="426">
        <v>3047.49</v>
      </c>
      <c r="Q251" s="426">
        <v>3047.49</v>
      </c>
      <c r="R251" s="427"/>
      <c r="S251" s="458" t="s">
        <v>981</v>
      </c>
      <c r="T251" s="496">
        <v>44863</v>
      </c>
      <c r="U251" s="459">
        <f>1100+240.37</f>
        <v>1340.37</v>
      </c>
      <c r="V251" s="458" t="s">
        <v>982</v>
      </c>
    </row>
    <row r="252" spans="2:22" s="458" customFormat="1" ht="21.95" customHeight="1" x14ac:dyDescent="0.25">
      <c r="B252" s="268" t="e">
        <f t="shared" si="52"/>
        <v>#REF!</v>
      </c>
      <c r="C252" s="53" t="s">
        <v>983</v>
      </c>
      <c r="D252" s="426">
        <v>1922</v>
      </c>
      <c r="E252" s="239"/>
      <c r="F252" s="52">
        <v>1922.29</v>
      </c>
      <c r="G252" s="52">
        <f t="shared" si="51"/>
        <v>1922.29</v>
      </c>
      <c r="H252" s="426">
        <f t="shared" si="54"/>
        <v>1922.29</v>
      </c>
      <c r="I252" s="19" t="s">
        <v>41</v>
      </c>
      <c r="N252" s="458" t="s">
        <v>354</v>
      </c>
      <c r="P252" s="426">
        <v>1922.29</v>
      </c>
      <c r="Q252" s="426">
        <v>1922.29</v>
      </c>
      <c r="R252" s="427"/>
      <c r="U252" s="459"/>
    </row>
    <row r="253" spans="2:22" s="458" customFormat="1" ht="21.95" customHeight="1" x14ac:dyDescent="0.25">
      <c r="B253" s="268" t="e">
        <f t="shared" si="52"/>
        <v>#REF!</v>
      </c>
      <c r="C253" s="53" t="s">
        <v>267</v>
      </c>
      <c r="D253" s="426">
        <v>650</v>
      </c>
      <c r="E253" s="239">
        <v>21227</v>
      </c>
      <c r="F253" s="52">
        <v>2430.23</v>
      </c>
      <c r="G253" s="52">
        <f t="shared" si="51"/>
        <v>-18796.77</v>
      </c>
      <c r="H253" s="426">
        <f t="shared" si="54"/>
        <v>2430.23</v>
      </c>
      <c r="I253" s="19" t="s">
        <v>41</v>
      </c>
      <c r="N253" s="458" t="s">
        <v>354</v>
      </c>
      <c r="P253" s="426">
        <v>2430.23</v>
      </c>
      <c r="Q253" s="426">
        <v>2430.23</v>
      </c>
      <c r="R253" s="427"/>
      <c r="U253" s="459"/>
    </row>
    <row r="254" spans="2:22" s="458" customFormat="1" ht="21.95" customHeight="1" x14ac:dyDescent="0.25">
      <c r="B254" s="268" t="e">
        <f t="shared" si="52"/>
        <v>#REF!</v>
      </c>
      <c r="C254" s="53" t="s">
        <v>268</v>
      </c>
      <c r="D254" s="426">
        <v>10</v>
      </c>
      <c r="E254" s="239">
        <v>4</v>
      </c>
      <c r="F254" s="52">
        <v>5.94</v>
      </c>
      <c r="G254" s="52">
        <f t="shared" si="51"/>
        <v>1.9400000000000004</v>
      </c>
      <c r="H254" s="426">
        <f t="shared" si="54"/>
        <v>5.94</v>
      </c>
      <c r="I254" s="19" t="s">
        <v>41</v>
      </c>
      <c r="N254" s="458" t="s">
        <v>354</v>
      </c>
      <c r="P254" s="426">
        <v>5.94</v>
      </c>
      <c r="Q254" s="426">
        <v>5.94</v>
      </c>
      <c r="R254" s="427"/>
      <c r="U254" s="459"/>
    </row>
    <row r="255" spans="2:22" s="458" customFormat="1" ht="21.95" customHeight="1" x14ac:dyDescent="0.25">
      <c r="B255" s="268" t="e">
        <f t="shared" si="52"/>
        <v>#REF!</v>
      </c>
      <c r="C255" s="53" t="s">
        <v>269</v>
      </c>
      <c r="D255" s="426">
        <v>5978</v>
      </c>
      <c r="E255" s="239">
        <v>2330</v>
      </c>
      <c r="F255" s="52">
        <v>5900.1</v>
      </c>
      <c r="G255" s="52">
        <f t="shared" si="51"/>
        <v>3570.1000000000004</v>
      </c>
      <c r="H255" s="426">
        <f t="shared" si="54"/>
        <v>5900.1</v>
      </c>
      <c r="I255" s="19" t="s">
        <v>41</v>
      </c>
      <c r="N255" s="458" t="s">
        <v>354</v>
      </c>
      <c r="P255" s="426">
        <v>5900.1</v>
      </c>
      <c r="Q255" s="426">
        <v>5900.1</v>
      </c>
      <c r="R255" s="427"/>
      <c r="U255" s="459"/>
    </row>
    <row r="256" spans="2:22" s="458" customFormat="1" ht="21.95" customHeight="1" x14ac:dyDescent="0.25">
      <c r="B256" s="268" t="e">
        <f t="shared" si="52"/>
        <v>#REF!</v>
      </c>
      <c r="C256" s="53" t="s">
        <v>270</v>
      </c>
      <c r="D256" s="426">
        <v>235</v>
      </c>
      <c r="E256" s="239">
        <v>30</v>
      </c>
      <c r="F256" s="52">
        <v>75</v>
      </c>
      <c r="G256" s="52">
        <f t="shared" si="51"/>
        <v>45</v>
      </c>
      <c r="H256" s="426">
        <f t="shared" si="54"/>
        <v>75</v>
      </c>
      <c r="I256" s="19" t="s">
        <v>41</v>
      </c>
      <c r="N256" s="458" t="s">
        <v>354</v>
      </c>
      <c r="P256" s="426">
        <v>75</v>
      </c>
      <c r="Q256" s="426">
        <v>75</v>
      </c>
      <c r="R256" s="427"/>
      <c r="U256" s="459"/>
    </row>
    <row r="257" spans="2:21" s="458" customFormat="1" ht="21.95" customHeight="1" x14ac:dyDescent="0.25">
      <c r="B257" s="268" t="e">
        <f t="shared" si="52"/>
        <v>#REF!</v>
      </c>
      <c r="C257" s="53" t="s">
        <v>271</v>
      </c>
      <c r="D257" s="426">
        <v>2597</v>
      </c>
      <c r="E257" s="239">
        <v>1598</v>
      </c>
      <c r="F257" s="52">
        <v>3850.3</v>
      </c>
      <c r="G257" s="52">
        <f t="shared" si="51"/>
        <v>2252.3000000000002</v>
      </c>
      <c r="H257" s="426">
        <f t="shared" si="54"/>
        <v>3850.3</v>
      </c>
      <c r="I257" s="19" t="s">
        <v>41</v>
      </c>
      <c r="N257" s="458" t="s">
        <v>354</v>
      </c>
      <c r="P257" s="426">
        <v>3850.3</v>
      </c>
      <c r="Q257" s="426">
        <v>3850.3</v>
      </c>
      <c r="R257" s="427"/>
      <c r="U257" s="459"/>
    </row>
    <row r="258" spans="2:21" s="458" customFormat="1" ht="21.95" customHeight="1" x14ac:dyDescent="0.25">
      <c r="B258" s="268" t="e">
        <f t="shared" si="52"/>
        <v>#REF!</v>
      </c>
      <c r="C258" s="53" t="s">
        <v>272</v>
      </c>
      <c r="D258" s="426">
        <v>5500</v>
      </c>
      <c r="E258" s="239">
        <v>5500</v>
      </c>
      <c r="F258" s="52">
        <v>5500</v>
      </c>
      <c r="G258" s="52">
        <f t="shared" si="51"/>
        <v>0</v>
      </c>
      <c r="H258" s="426">
        <f t="shared" si="54"/>
        <v>5500</v>
      </c>
      <c r="I258" s="19" t="s">
        <v>41</v>
      </c>
      <c r="N258" s="458" t="s">
        <v>354</v>
      </c>
      <c r="P258" s="426">
        <v>5500</v>
      </c>
      <c r="Q258" s="426">
        <v>5500</v>
      </c>
      <c r="R258" s="427"/>
      <c r="U258" s="459"/>
    </row>
    <row r="259" spans="2:21" s="458" customFormat="1" ht="21.95" customHeight="1" x14ac:dyDescent="0.25">
      <c r="B259" s="268" t="e">
        <f t="shared" si="52"/>
        <v>#REF!</v>
      </c>
      <c r="C259" s="53" t="s">
        <v>273</v>
      </c>
      <c r="D259" s="426">
        <v>2000</v>
      </c>
      <c r="E259" s="239">
        <v>697</v>
      </c>
      <c r="F259" s="52">
        <v>1904</v>
      </c>
      <c r="G259" s="52">
        <f t="shared" si="51"/>
        <v>1207</v>
      </c>
      <c r="H259" s="426">
        <f t="shared" si="54"/>
        <v>1904</v>
      </c>
      <c r="I259" s="19" t="s">
        <v>41</v>
      </c>
      <c r="N259" s="458" t="s">
        <v>354</v>
      </c>
      <c r="P259" s="426">
        <v>1904</v>
      </c>
      <c r="Q259" s="426">
        <v>1904</v>
      </c>
      <c r="R259" s="427"/>
      <c r="U259" s="459"/>
    </row>
    <row r="260" spans="2:21" s="458" customFormat="1" ht="21.95" customHeight="1" x14ac:dyDescent="0.25">
      <c r="B260" s="268" t="e">
        <f t="shared" si="52"/>
        <v>#REF!</v>
      </c>
      <c r="C260" s="53" t="s">
        <v>274</v>
      </c>
      <c r="D260" s="426">
        <v>162915</v>
      </c>
      <c r="E260" s="239">
        <v>117145</v>
      </c>
      <c r="F260" s="52">
        <v>162643.48000000001</v>
      </c>
      <c r="G260" s="52">
        <f t="shared" si="51"/>
        <v>45498.48000000001</v>
      </c>
      <c r="H260" s="426">
        <f t="shared" si="54"/>
        <v>162643.48000000001</v>
      </c>
      <c r="I260" s="19" t="s">
        <v>41</v>
      </c>
      <c r="N260" s="458" t="s">
        <v>354</v>
      </c>
      <c r="P260" s="426">
        <v>162643.48000000001</v>
      </c>
      <c r="Q260" s="426">
        <v>162643.48000000001</v>
      </c>
      <c r="R260" s="427"/>
      <c r="U260" s="459"/>
    </row>
    <row r="261" spans="2:21" s="458" customFormat="1" ht="21.95" customHeight="1" x14ac:dyDescent="0.25">
      <c r="B261" s="268" t="e">
        <f t="shared" si="52"/>
        <v>#REF!</v>
      </c>
      <c r="C261" s="53" t="s">
        <v>275</v>
      </c>
      <c r="D261" s="426">
        <v>1593</v>
      </c>
      <c r="E261" s="239">
        <v>1826</v>
      </c>
      <c r="F261" s="52">
        <v>1453</v>
      </c>
      <c r="G261" s="52">
        <f t="shared" si="51"/>
        <v>-373</v>
      </c>
      <c r="H261" s="426">
        <f t="shared" si="54"/>
        <v>1453</v>
      </c>
      <c r="I261" s="19" t="s">
        <v>41</v>
      </c>
      <c r="P261" s="426">
        <v>1453</v>
      </c>
      <c r="Q261" s="426">
        <v>1453</v>
      </c>
      <c r="R261" s="427"/>
      <c r="S261" s="458" t="s">
        <v>984</v>
      </c>
      <c r="T261" s="496">
        <v>46022</v>
      </c>
      <c r="U261" s="459">
        <v>1453</v>
      </c>
    </row>
    <row r="262" spans="2:21" s="458" customFormat="1" ht="21.95" customHeight="1" x14ac:dyDescent="0.25">
      <c r="B262" s="268" t="e">
        <f t="shared" si="52"/>
        <v>#REF!</v>
      </c>
      <c r="C262" s="53" t="s">
        <v>276</v>
      </c>
      <c r="D262" s="426">
        <v>0</v>
      </c>
      <c r="E262" s="239">
        <v>43</v>
      </c>
      <c r="F262" s="52">
        <v>0</v>
      </c>
      <c r="G262" s="52">
        <f t="shared" si="51"/>
        <v>-43</v>
      </c>
      <c r="H262" s="426">
        <f>'[1]84,10,508 VISUR.RECUP.CRED.'!P1</f>
        <v>0</v>
      </c>
      <c r="I262" s="19" t="s">
        <v>41</v>
      </c>
      <c r="N262" s="458" t="s">
        <v>354</v>
      </c>
      <c r="P262" s="426">
        <v>0</v>
      </c>
      <c r="Q262" s="426">
        <v>0</v>
      </c>
      <c r="R262" s="427"/>
      <c r="U262" s="459"/>
    </row>
    <row r="263" spans="2:21" s="458" customFormat="1" ht="21.95" customHeight="1" x14ac:dyDescent="0.25">
      <c r="B263" s="268" t="e">
        <f t="shared" si="52"/>
        <v>#REF!</v>
      </c>
      <c r="C263" s="53" t="s">
        <v>985</v>
      </c>
      <c r="D263" s="426">
        <v>0</v>
      </c>
      <c r="E263" s="239">
        <v>0</v>
      </c>
      <c r="F263" s="52">
        <v>0</v>
      </c>
      <c r="G263" s="52">
        <f t="shared" si="51"/>
        <v>0</v>
      </c>
      <c r="H263" s="426">
        <v>0</v>
      </c>
      <c r="I263" s="19" t="s">
        <v>41</v>
      </c>
      <c r="N263" s="458" t="s">
        <v>354</v>
      </c>
      <c r="P263" s="426">
        <v>0</v>
      </c>
      <c r="Q263" s="426">
        <v>0</v>
      </c>
      <c r="R263" s="427"/>
      <c r="U263" s="459"/>
    </row>
    <row r="264" spans="2:21" s="458" customFormat="1" ht="21.95" customHeight="1" x14ac:dyDescent="0.25">
      <c r="B264" s="268" t="e">
        <f t="shared" si="52"/>
        <v>#REF!</v>
      </c>
      <c r="C264" s="53" t="s">
        <v>986</v>
      </c>
      <c r="D264" s="426">
        <v>0</v>
      </c>
      <c r="E264" s="239"/>
      <c r="F264" s="52">
        <v>0</v>
      </c>
      <c r="G264" s="52">
        <f t="shared" si="51"/>
        <v>0</v>
      </c>
      <c r="H264" s="426">
        <v>0</v>
      </c>
      <c r="I264" s="19" t="s">
        <v>41</v>
      </c>
      <c r="N264" s="458" t="s">
        <v>354</v>
      </c>
      <c r="P264" s="426">
        <v>0</v>
      </c>
      <c r="Q264" s="426">
        <v>0</v>
      </c>
      <c r="R264" s="427"/>
      <c r="U264" s="459"/>
    </row>
    <row r="265" spans="2:21" s="458" customFormat="1" ht="21.95" customHeight="1" x14ac:dyDescent="0.25">
      <c r="B265" s="268" t="e">
        <f t="shared" si="52"/>
        <v>#REF!</v>
      </c>
      <c r="C265" s="53" t="s">
        <v>277</v>
      </c>
      <c r="D265" s="426">
        <v>648</v>
      </c>
      <c r="E265" s="239">
        <v>429</v>
      </c>
      <c r="F265" s="52">
        <v>589.70000000000005</v>
      </c>
      <c r="G265" s="52">
        <f t="shared" si="51"/>
        <v>160.70000000000005</v>
      </c>
      <c r="H265" s="426">
        <f>F265</f>
        <v>589.70000000000005</v>
      </c>
      <c r="I265" s="19" t="s">
        <v>41</v>
      </c>
      <c r="N265" s="458" t="s">
        <v>354</v>
      </c>
      <c r="P265" s="426">
        <v>589.70000000000005</v>
      </c>
      <c r="Q265" s="426">
        <v>589.70000000000005</v>
      </c>
      <c r="R265" s="427"/>
      <c r="U265" s="459"/>
    </row>
    <row r="266" spans="2:21" s="458" customFormat="1" ht="21.95" customHeight="1" x14ac:dyDescent="0.25">
      <c r="B266" s="268" t="e">
        <f t="shared" si="52"/>
        <v>#REF!</v>
      </c>
      <c r="C266" s="53" t="s">
        <v>278</v>
      </c>
      <c r="D266" s="426">
        <v>568</v>
      </c>
      <c r="E266" s="239">
        <v>285</v>
      </c>
      <c r="F266" s="52">
        <v>623.5</v>
      </c>
      <c r="G266" s="52">
        <f t="shared" si="51"/>
        <v>338.5</v>
      </c>
      <c r="H266" s="426">
        <f>F266</f>
        <v>623.5</v>
      </c>
      <c r="I266" s="19" t="s">
        <v>41</v>
      </c>
      <c r="N266" s="458" t="s">
        <v>354</v>
      </c>
      <c r="P266" s="426">
        <v>623.5</v>
      </c>
      <c r="Q266" s="426">
        <v>623.5</v>
      </c>
      <c r="R266" s="427"/>
      <c r="U266" s="459"/>
    </row>
    <row r="267" spans="2:21" s="458" customFormat="1" ht="21.95" customHeight="1" x14ac:dyDescent="0.25">
      <c r="B267" s="268" t="e">
        <f t="shared" si="52"/>
        <v>#REF!</v>
      </c>
      <c r="C267" s="53" t="s">
        <v>279</v>
      </c>
      <c r="D267" s="426">
        <v>0</v>
      </c>
      <c r="E267" s="239">
        <v>398</v>
      </c>
      <c r="F267" s="52">
        <v>742.65</v>
      </c>
      <c r="G267" s="52">
        <f t="shared" si="51"/>
        <v>344.65</v>
      </c>
      <c r="H267" s="426">
        <f>F267</f>
        <v>742.65</v>
      </c>
      <c r="I267" s="19" t="s">
        <v>41</v>
      </c>
      <c r="N267" s="458" t="s">
        <v>354</v>
      </c>
      <c r="P267" s="426">
        <v>742.65</v>
      </c>
      <c r="Q267" s="426">
        <v>742.65</v>
      </c>
      <c r="R267" s="427"/>
      <c r="U267" s="459"/>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CC99"/>
  </sheetPr>
  <dimension ref="A1:F32"/>
  <sheetViews>
    <sheetView topLeftCell="A5" workbookViewId="0">
      <selection activeCell="E6" sqref="E6:E25"/>
    </sheetView>
  </sheetViews>
  <sheetFormatPr defaultRowHeight="15" x14ac:dyDescent="0.25"/>
  <cols>
    <col min="1" max="1" width="40.28515625" style="61" customWidth="1"/>
    <col min="2" max="2" width="17.42578125" style="572" hidden="1" customWidth="1"/>
    <col min="3" max="3" width="11.5703125" style="572" bestFit="1" customWidth="1"/>
    <col min="4" max="4" width="13.140625" style="572" bestFit="1" customWidth="1"/>
    <col min="5" max="5" width="11.5703125" style="572" customWidth="1"/>
    <col min="6" max="6" width="20.7109375" customWidth="1"/>
  </cols>
  <sheetData>
    <row r="1" spans="1:6" x14ac:dyDescent="0.25">
      <c r="A1" s="571" t="s">
        <v>1002</v>
      </c>
    </row>
    <row r="2" spans="1:6" x14ac:dyDescent="0.25">
      <c r="A2" s="571" t="s">
        <v>1003</v>
      </c>
    </row>
    <row r="4" spans="1:6" ht="30" x14ac:dyDescent="0.25">
      <c r="A4" s="143" t="s">
        <v>1</v>
      </c>
      <c r="B4" s="573" t="s">
        <v>1004</v>
      </c>
      <c r="C4" s="574">
        <v>2022</v>
      </c>
      <c r="D4" s="574">
        <v>2023</v>
      </c>
      <c r="E4" s="574">
        <v>2024</v>
      </c>
      <c r="F4" s="575" t="s">
        <v>1005</v>
      </c>
    </row>
    <row r="5" spans="1:6" ht="15.75" x14ac:dyDescent="0.25">
      <c r="A5" s="576" t="s">
        <v>1006</v>
      </c>
      <c r="B5" s="577">
        <f>SUM(C5:E5)</f>
        <v>250000</v>
      </c>
      <c r="C5" s="578">
        <v>150000</v>
      </c>
      <c r="D5" s="578">
        <v>50000</v>
      </c>
      <c r="E5" s="578">
        <v>50000</v>
      </c>
      <c r="F5" s="1" t="s">
        <v>1007</v>
      </c>
    </row>
    <row r="6" spans="1:6" ht="63" x14ac:dyDescent="0.25">
      <c r="A6" s="576" t="s">
        <v>1008</v>
      </c>
      <c r="B6" s="577">
        <f t="shared" ref="B6:B24" si="0">SUM(C6:E6)</f>
        <v>105000</v>
      </c>
      <c r="C6" s="579">
        <v>35000</v>
      </c>
      <c r="D6" s="579">
        <v>35000</v>
      </c>
      <c r="E6" s="579">
        <v>35000</v>
      </c>
      <c r="F6" s="1" t="s">
        <v>1007</v>
      </c>
    </row>
    <row r="7" spans="1:6" ht="15.75" x14ac:dyDescent="0.25">
      <c r="A7" s="576" t="s">
        <v>1009</v>
      </c>
      <c r="B7" s="577">
        <f t="shared" si="0"/>
        <v>40000</v>
      </c>
      <c r="C7" s="579">
        <v>40000</v>
      </c>
      <c r="D7" s="579">
        <v>0</v>
      </c>
      <c r="E7" s="579">
        <v>0</v>
      </c>
      <c r="F7" s="1" t="s">
        <v>1007</v>
      </c>
    </row>
    <row r="8" spans="1:6" ht="15.75" x14ac:dyDescent="0.25">
      <c r="A8" s="576" t="s">
        <v>1010</v>
      </c>
      <c r="B8" s="577">
        <f t="shared" si="0"/>
        <v>100000</v>
      </c>
      <c r="C8" s="579">
        <v>100000</v>
      </c>
      <c r="D8" s="579">
        <v>0</v>
      </c>
      <c r="E8" s="579">
        <v>0</v>
      </c>
      <c r="F8" s="1" t="s">
        <v>1007</v>
      </c>
    </row>
    <row r="9" spans="1:6" ht="15.75" hidden="1" x14ac:dyDescent="0.25">
      <c r="A9" s="576" t="s">
        <v>1011</v>
      </c>
      <c r="B9" s="577">
        <f t="shared" si="0"/>
        <v>18000</v>
      </c>
      <c r="C9" s="579">
        <v>10000</v>
      </c>
      <c r="D9" s="579">
        <v>4000</v>
      </c>
      <c r="E9" s="579">
        <v>4000</v>
      </c>
      <c r="F9" s="1" t="s">
        <v>1012</v>
      </c>
    </row>
    <row r="10" spans="1:6" ht="15.75" hidden="1" x14ac:dyDescent="0.25">
      <c r="A10" s="576" t="s">
        <v>1013</v>
      </c>
      <c r="B10" s="577">
        <f t="shared" si="0"/>
        <v>250000</v>
      </c>
      <c r="C10" s="579">
        <v>50000</v>
      </c>
      <c r="D10" s="579">
        <v>100000</v>
      </c>
      <c r="E10" s="579">
        <v>100000</v>
      </c>
      <c r="F10" s="580" t="s">
        <v>1014</v>
      </c>
    </row>
    <row r="11" spans="1:6" ht="15.75" x14ac:dyDescent="0.25">
      <c r="A11" s="576" t="s">
        <v>1015</v>
      </c>
      <c r="B11" s="577">
        <f>C11+D11</f>
        <v>220000</v>
      </c>
      <c r="C11" s="579">
        <v>20000</v>
      </c>
      <c r="D11" s="579">
        <v>200000</v>
      </c>
      <c r="E11" s="579">
        <v>0</v>
      </c>
      <c r="F11" s="1" t="s">
        <v>1007</v>
      </c>
    </row>
    <row r="12" spans="1:6" ht="15.75" hidden="1" x14ac:dyDescent="0.25">
      <c r="A12" s="576" t="s">
        <v>1016</v>
      </c>
      <c r="B12" s="577"/>
      <c r="C12" s="579">
        <v>25000</v>
      </c>
      <c r="D12" s="579">
        <v>25000</v>
      </c>
      <c r="E12" s="579">
        <v>0</v>
      </c>
      <c r="F12" s="1" t="s">
        <v>1012</v>
      </c>
    </row>
    <row r="13" spans="1:6" ht="15.75" x14ac:dyDescent="0.25">
      <c r="A13" s="576" t="s">
        <v>1017</v>
      </c>
      <c r="B13" s="577">
        <f>SUM(C13:E13)</f>
        <v>250000</v>
      </c>
      <c r="C13" s="579">
        <v>50000</v>
      </c>
      <c r="D13" s="579">
        <v>100000</v>
      </c>
      <c r="E13" s="579">
        <v>100000</v>
      </c>
      <c r="F13" s="1" t="s">
        <v>1007</v>
      </c>
    </row>
    <row r="14" spans="1:6" ht="15.75" x14ac:dyDescent="0.25">
      <c r="A14" s="576" t="s">
        <v>1018</v>
      </c>
      <c r="B14" s="577">
        <f>SUM(C14:E14)</f>
        <v>23000</v>
      </c>
      <c r="C14" s="579">
        <v>23000</v>
      </c>
      <c r="D14" s="572">
        <v>0</v>
      </c>
      <c r="E14" s="579">
        <v>0</v>
      </c>
      <c r="F14" s="1" t="s">
        <v>1007</v>
      </c>
    </row>
    <row r="15" spans="1:6" ht="31.5" x14ac:dyDescent="0.25">
      <c r="A15" s="576" t="s">
        <v>1019</v>
      </c>
      <c r="B15" s="577">
        <f t="shared" si="0"/>
        <v>65000</v>
      </c>
      <c r="C15" s="579">
        <v>0</v>
      </c>
      <c r="D15" s="579">
        <v>65000</v>
      </c>
      <c r="E15" s="579">
        <v>0</v>
      </c>
      <c r="F15" s="1" t="s">
        <v>1007</v>
      </c>
    </row>
    <row r="16" spans="1:6" ht="31.5" x14ac:dyDescent="0.25">
      <c r="A16" s="576" t="s">
        <v>1020</v>
      </c>
      <c r="B16" s="577">
        <f t="shared" si="0"/>
        <v>45000</v>
      </c>
      <c r="C16" s="579">
        <v>20000</v>
      </c>
      <c r="D16" s="579">
        <v>25000</v>
      </c>
      <c r="E16" s="579">
        <v>0</v>
      </c>
      <c r="F16" s="1" t="s">
        <v>1007</v>
      </c>
    </row>
    <row r="17" spans="1:6" ht="31.5" x14ac:dyDescent="0.25">
      <c r="A17" s="576" t="s">
        <v>1021</v>
      </c>
      <c r="B17" s="577">
        <f t="shared" si="0"/>
        <v>35000</v>
      </c>
      <c r="C17" s="579">
        <v>0</v>
      </c>
      <c r="D17" s="579">
        <v>35000</v>
      </c>
      <c r="E17" s="579">
        <v>0</v>
      </c>
      <c r="F17" s="1" t="s">
        <v>1007</v>
      </c>
    </row>
    <row r="18" spans="1:6" ht="31.5" hidden="1" x14ac:dyDescent="0.25">
      <c r="A18" s="576" t="s">
        <v>1022</v>
      </c>
      <c r="B18" s="577">
        <f t="shared" si="0"/>
        <v>488000</v>
      </c>
      <c r="C18" s="579">
        <v>238000</v>
      </c>
      <c r="D18" s="579">
        <v>125000</v>
      </c>
      <c r="E18" s="579">
        <v>125000</v>
      </c>
      <c r="F18" s="1" t="s">
        <v>1012</v>
      </c>
    </row>
    <row r="19" spans="1:6" ht="31.5" x14ac:dyDescent="0.25">
      <c r="A19" s="576" t="s">
        <v>1023</v>
      </c>
      <c r="B19" s="577">
        <f>SUM(C19:E19)</f>
        <v>30000</v>
      </c>
      <c r="C19" s="579">
        <v>30000</v>
      </c>
      <c r="D19" s="581">
        <v>0</v>
      </c>
      <c r="E19" s="579">
        <v>0</v>
      </c>
      <c r="F19" s="1" t="s">
        <v>1007</v>
      </c>
    </row>
    <row r="20" spans="1:6" ht="31.5" x14ac:dyDescent="0.25">
      <c r="A20" s="576" t="s">
        <v>1024</v>
      </c>
      <c r="B20" s="577">
        <f t="shared" si="0"/>
        <v>100000</v>
      </c>
      <c r="C20" s="579">
        <v>0</v>
      </c>
      <c r="D20" s="581">
        <v>0</v>
      </c>
      <c r="E20" s="579">
        <v>100000</v>
      </c>
      <c r="F20" s="1" t="s">
        <v>1007</v>
      </c>
    </row>
    <row r="21" spans="1:6" ht="63" x14ac:dyDescent="0.25">
      <c r="A21" s="576" t="s">
        <v>1025</v>
      </c>
      <c r="B21" s="577">
        <f t="shared" si="0"/>
        <v>15000</v>
      </c>
      <c r="C21" s="579">
        <v>0</v>
      </c>
      <c r="D21" s="582">
        <v>15000</v>
      </c>
      <c r="E21" s="579">
        <v>0</v>
      </c>
      <c r="F21" s="1" t="s">
        <v>1007</v>
      </c>
    </row>
    <row r="22" spans="1:6" ht="15.75" hidden="1" x14ac:dyDescent="0.25">
      <c r="A22" s="576" t="s">
        <v>1026</v>
      </c>
      <c r="B22" s="577">
        <f t="shared" si="0"/>
        <v>20000</v>
      </c>
      <c r="C22" s="579">
        <v>20000</v>
      </c>
      <c r="D22" s="579">
        <v>0</v>
      </c>
      <c r="E22" s="579">
        <v>0</v>
      </c>
      <c r="F22" s="1" t="s">
        <v>1012</v>
      </c>
    </row>
    <row r="23" spans="1:6" ht="31.5" hidden="1" x14ac:dyDescent="0.25">
      <c r="A23" s="576" t="s">
        <v>1027</v>
      </c>
      <c r="B23" s="577">
        <f t="shared" si="0"/>
        <v>22500</v>
      </c>
      <c r="C23" s="579">
        <v>22500</v>
      </c>
      <c r="D23" s="579">
        <v>0</v>
      </c>
      <c r="E23" s="579">
        <v>0</v>
      </c>
      <c r="F23" s="1" t="s">
        <v>1012</v>
      </c>
    </row>
    <row r="24" spans="1:6" ht="31.5" x14ac:dyDescent="0.25">
      <c r="A24" s="576" t="s">
        <v>1028</v>
      </c>
      <c r="B24" s="577">
        <f t="shared" si="0"/>
        <v>50000</v>
      </c>
      <c r="C24" s="579">
        <v>50000</v>
      </c>
      <c r="D24" s="579">
        <v>0</v>
      </c>
      <c r="E24" s="579">
        <v>0</v>
      </c>
      <c r="F24" s="1" t="s">
        <v>1007</v>
      </c>
    </row>
    <row r="25" spans="1:6" ht="15.75" x14ac:dyDescent="0.25">
      <c r="A25" s="576" t="s">
        <v>1029</v>
      </c>
      <c r="B25" s="577">
        <f>SUM(C25:E25)</f>
        <v>24000</v>
      </c>
      <c r="C25" s="579">
        <v>12000</v>
      </c>
      <c r="D25" s="579">
        <v>12000</v>
      </c>
      <c r="E25" s="579">
        <v>0</v>
      </c>
      <c r="F25" s="1" t="s">
        <v>1007</v>
      </c>
    </row>
    <row r="26" spans="1:6" ht="15.75" hidden="1" x14ac:dyDescent="0.25">
      <c r="A26" s="576" t="s">
        <v>1030</v>
      </c>
      <c r="B26" s="577">
        <f t="shared" ref="B26:B29" si="1">SUM(C26:E26)</f>
        <v>60000</v>
      </c>
      <c r="C26" s="579">
        <v>20000</v>
      </c>
      <c r="D26" s="579">
        <v>20000</v>
      </c>
      <c r="E26" s="579">
        <v>20000</v>
      </c>
      <c r="F26" s="1" t="s">
        <v>1014</v>
      </c>
    </row>
    <row r="27" spans="1:6" ht="15.75" hidden="1" x14ac:dyDescent="0.25">
      <c r="A27" s="576" t="s">
        <v>1031</v>
      </c>
      <c r="B27" s="577">
        <f t="shared" si="1"/>
        <v>60000</v>
      </c>
      <c r="C27" s="579">
        <v>20000</v>
      </c>
      <c r="D27" s="579">
        <v>20000</v>
      </c>
      <c r="E27" s="579">
        <v>20000</v>
      </c>
      <c r="F27" s="1" t="s">
        <v>1014</v>
      </c>
    </row>
    <row r="28" spans="1:6" ht="15.75" hidden="1" x14ac:dyDescent="0.25">
      <c r="A28" s="576" t="s">
        <v>1032</v>
      </c>
      <c r="B28" s="577">
        <f t="shared" si="1"/>
        <v>81000</v>
      </c>
      <c r="C28" s="579">
        <v>42000</v>
      </c>
      <c r="D28" s="579">
        <v>39000</v>
      </c>
      <c r="E28" s="579">
        <v>0</v>
      </c>
      <c r="F28" s="1" t="s">
        <v>1012</v>
      </c>
    </row>
    <row r="29" spans="1:6" ht="15.75" hidden="1" x14ac:dyDescent="0.25">
      <c r="A29" s="576" t="s">
        <v>1033</v>
      </c>
      <c r="B29" s="577">
        <f t="shared" si="1"/>
        <v>63000</v>
      </c>
      <c r="C29" s="579">
        <v>21000</v>
      </c>
      <c r="D29" s="579">
        <v>21000</v>
      </c>
      <c r="E29" s="579">
        <v>21000</v>
      </c>
      <c r="F29" s="1" t="s">
        <v>1012</v>
      </c>
    </row>
    <row r="30" spans="1:6" ht="15.75" hidden="1" x14ac:dyDescent="0.25">
      <c r="A30" s="583" t="s">
        <v>1034</v>
      </c>
      <c r="B30" s="584"/>
      <c r="C30" s="585"/>
      <c r="D30" s="585"/>
      <c r="E30" s="585"/>
      <c r="F30" s="104"/>
    </row>
    <row r="31" spans="1:6" hidden="1" x14ac:dyDescent="0.25">
      <c r="A31" s="61" t="s">
        <v>1035</v>
      </c>
    </row>
    <row r="32" spans="1:6" x14ac:dyDescent="0.25">
      <c r="C32" s="572">
        <f>SUBTOTAL(9,C5:C31)</f>
        <v>530000</v>
      </c>
      <c r="D32" s="572">
        <f t="shared" ref="D32:E32" si="2">SUBTOTAL(9,D5:D31)</f>
        <v>537000</v>
      </c>
      <c r="E32" s="572">
        <f t="shared" si="2"/>
        <v>285000</v>
      </c>
    </row>
  </sheetData>
  <autoFilter ref="A4:F31" xr:uid="{00000000-0009-0000-0000-000002000000}">
    <filterColumn colId="5">
      <filters>
        <filter val="INVESTIMENTO"/>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sheetPr>
  <dimension ref="A1:AF206"/>
  <sheetViews>
    <sheetView topLeftCell="A109" workbookViewId="0">
      <selection activeCell="G126" sqref="G126"/>
    </sheetView>
  </sheetViews>
  <sheetFormatPr defaultColWidth="9.140625" defaultRowHeight="15" x14ac:dyDescent="0.25"/>
  <cols>
    <col min="1" max="1" width="11.7109375" style="451" customWidth="1"/>
    <col min="2" max="2" width="55.28515625" style="59" customWidth="1"/>
    <col min="3" max="3" width="19.7109375" style="60" hidden="1" customWidth="1"/>
    <col min="4" max="4" width="20.140625" style="453" hidden="1" customWidth="1"/>
    <col min="5" max="6" width="20.140625" style="60" hidden="1" customWidth="1"/>
    <col min="7" max="7" width="17.85546875" style="60" customWidth="1"/>
    <col min="8" max="8" width="19" customWidth="1"/>
    <col min="9" max="9" width="32.7109375" customWidth="1"/>
    <col min="10" max="10" width="15.5703125" customWidth="1"/>
    <col min="11" max="12" width="9.140625" customWidth="1"/>
    <col min="13" max="13" width="10.28515625" customWidth="1"/>
    <col min="14" max="14" width="55.28515625" style="59" customWidth="1"/>
    <col min="15" max="17" width="17.85546875" style="60" customWidth="1"/>
    <col min="18" max="18" width="17.85546875" style="60" hidden="1" customWidth="1"/>
    <col min="19" max="19" width="45.140625" bestFit="1" customWidth="1"/>
    <col min="20" max="20" width="20.42578125" customWidth="1"/>
    <col min="21" max="21" width="11.85546875" style="164" bestFit="1" customWidth="1"/>
  </cols>
  <sheetData>
    <row r="1" spans="1:32" ht="75" x14ac:dyDescent="0.25">
      <c r="A1" s="153"/>
      <c r="B1" s="3" t="s">
        <v>1</v>
      </c>
      <c r="C1" s="4" t="s">
        <v>675</v>
      </c>
      <c r="D1" s="154" t="s">
        <v>2</v>
      </c>
      <c r="E1" s="155" t="s">
        <v>676</v>
      </c>
      <c r="F1" s="156" t="s">
        <v>677</v>
      </c>
      <c r="G1" s="4" t="s">
        <v>678</v>
      </c>
      <c r="H1" s="157" t="s">
        <v>679</v>
      </c>
      <c r="I1" s="157" t="s">
        <v>680</v>
      </c>
      <c r="J1" s="157" t="s">
        <v>681</v>
      </c>
      <c r="N1" s="3" t="s">
        <v>1</v>
      </c>
      <c r="O1" s="4" t="s">
        <v>682</v>
      </c>
      <c r="P1" s="609"/>
      <c r="Q1" s="4" t="s">
        <v>683</v>
      </c>
      <c r="R1" s="158"/>
      <c r="S1" s="159" t="s">
        <v>684</v>
      </c>
      <c r="T1" s="159" t="s">
        <v>685</v>
      </c>
      <c r="U1" s="160" t="s">
        <v>686</v>
      </c>
    </row>
    <row r="2" spans="1:32" s="458" customFormat="1" ht="21.95" hidden="1" customHeight="1" x14ac:dyDescent="0.25">
      <c r="A2" s="456"/>
      <c r="B2" s="457" t="s">
        <v>3</v>
      </c>
      <c r="C2" s="7"/>
      <c r="D2" s="162"/>
      <c r="E2" s="7"/>
      <c r="F2" s="7"/>
      <c r="G2" s="7"/>
      <c r="N2" s="457" t="s">
        <v>3</v>
      </c>
      <c r="O2" s="7"/>
      <c r="P2" s="7"/>
      <c r="Q2" s="7"/>
      <c r="R2" s="163"/>
      <c r="U2" s="459"/>
    </row>
    <row r="3" spans="1:32" s="170" customFormat="1" ht="21.95" hidden="1" customHeight="1" x14ac:dyDescent="0.25">
      <c r="A3" s="460">
        <v>1</v>
      </c>
      <c r="B3" s="461" t="s">
        <v>4</v>
      </c>
      <c r="C3" s="462">
        <v>7205827.7999999998</v>
      </c>
      <c r="D3" s="463">
        <f>D4+D36-1</f>
        <v>5095752</v>
      </c>
      <c r="E3" s="462">
        <f t="shared" ref="E3" si="0">E4+E36</f>
        <v>6979982.3100000005</v>
      </c>
      <c r="F3" s="462">
        <f>E3-D3</f>
        <v>1884230.3100000005</v>
      </c>
      <c r="G3" s="462">
        <f>G4+G36+G38</f>
        <v>8563754.5632876717</v>
      </c>
      <c r="H3" s="169">
        <v>867383.24</v>
      </c>
      <c r="N3" s="461" t="s">
        <v>4</v>
      </c>
      <c r="O3" s="462">
        <f>O4+O36+O38</f>
        <v>9386500</v>
      </c>
      <c r="P3" s="462"/>
      <c r="Q3" s="462">
        <f>Q4+Q36+Q38</f>
        <v>10986500</v>
      </c>
      <c r="R3" s="464"/>
      <c r="U3" s="172"/>
    </row>
    <row r="4" spans="1:32" s="170" customFormat="1" ht="21.95" hidden="1" customHeight="1" x14ac:dyDescent="0.25">
      <c r="A4" s="460">
        <f>A3+1</f>
        <v>2</v>
      </c>
      <c r="B4" s="465" t="s">
        <v>5</v>
      </c>
      <c r="C4" s="466">
        <v>5405827.7999999998</v>
      </c>
      <c r="D4" s="467">
        <f>D9+D22+D25+D29+SUM(D30+D31+D32+D33+D34+D35)</f>
        <v>3895753</v>
      </c>
      <c r="E4" s="466">
        <f>E9+E22+E25+E29+SUM(E30+E31+E32+E33+E34+E35)</f>
        <v>5429982.3100000005</v>
      </c>
      <c r="F4" s="466">
        <f>E4-D4</f>
        <v>1534229.3100000005</v>
      </c>
      <c r="G4" s="466">
        <f>'[1]previsioni ricavi 22-23-24'!E25</f>
        <v>6152487.4400000004</v>
      </c>
      <c r="H4" s="19" t="s">
        <v>95</v>
      </c>
      <c r="I4" s="176"/>
      <c r="J4" s="176"/>
      <c r="K4" s="176"/>
      <c r="L4" s="176"/>
      <c r="M4" s="176"/>
      <c r="N4" s="465" t="s">
        <v>5</v>
      </c>
      <c r="O4" s="466">
        <f>'[1]previsioni ricavi 22-23-24'!I25</f>
        <v>6900000</v>
      </c>
      <c r="P4" s="466"/>
      <c r="Q4" s="466">
        <f>'[1]previsioni ricavi 22-23-24'!J25</f>
        <v>8500000</v>
      </c>
      <c r="R4" s="468"/>
      <c r="S4" s="176"/>
      <c r="T4" s="176"/>
      <c r="U4" s="178"/>
      <c r="V4" s="179"/>
      <c r="W4" s="179"/>
      <c r="X4" s="179"/>
      <c r="Y4" s="179"/>
      <c r="Z4" s="179"/>
      <c r="AA4" s="179"/>
      <c r="AB4" s="179"/>
      <c r="AC4" s="179"/>
      <c r="AD4" s="179"/>
      <c r="AE4" s="179"/>
      <c r="AF4" s="179"/>
    </row>
    <row r="5" spans="1:32" s="170" customFormat="1" ht="21.95" hidden="1" customHeight="1" x14ac:dyDescent="0.25">
      <c r="A5" s="460">
        <f t="shared" ref="A5:A68" si="1">A4+1</f>
        <v>3</v>
      </c>
      <c r="B5" s="36" t="s">
        <v>6</v>
      </c>
      <c r="C5" s="180"/>
      <c r="D5" s="181">
        <v>289401</v>
      </c>
      <c r="E5" s="180">
        <v>272479.46999999997</v>
      </c>
      <c r="F5" s="180">
        <f>E5-D5</f>
        <v>-16921.530000000028</v>
      </c>
      <c r="G5" s="180"/>
      <c r="H5" s="19" t="s">
        <v>95</v>
      </c>
      <c r="N5" s="36" t="s">
        <v>6</v>
      </c>
      <c r="O5" s="180"/>
      <c r="P5" s="180"/>
      <c r="Q5" s="180"/>
      <c r="R5" s="182"/>
      <c r="U5" s="172"/>
    </row>
    <row r="6" spans="1:32" s="170" customFormat="1" ht="21.95" hidden="1" customHeight="1" x14ac:dyDescent="0.25">
      <c r="A6" s="460">
        <f t="shared" si="1"/>
        <v>4</v>
      </c>
      <c r="B6" s="36" t="s">
        <v>7</v>
      </c>
      <c r="C6" s="180"/>
      <c r="D6" s="181">
        <v>73250</v>
      </c>
      <c r="E6" s="180">
        <v>77354.62</v>
      </c>
      <c r="F6" s="180">
        <f t="shared" ref="F6:F35" si="2">E6-D6</f>
        <v>4104.6199999999953</v>
      </c>
      <c r="G6" s="180"/>
      <c r="H6" s="19" t="s">
        <v>95</v>
      </c>
      <c r="N6" s="36" t="s">
        <v>7</v>
      </c>
      <c r="O6" s="180"/>
      <c r="P6" s="180"/>
      <c r="Q6" s="180"/>
      <c r="R6" s="182"/>
      <c r="U6" s="172"/>
    </row>
    <row r="7" spans="1:32" s="170" customFormat="1" ht="21.95" hidden="1" customHeight="1" x14ac:dyDescent="0.25">
      <c r="A7" s="460">
        <f t="shared" si="1"/>
        <v>5</v>
      </c>
      <c r="B7" s="36" t="s">
        <v>8</v>
      </c>
      <c r="C7" s="180"/>
      <c r="D7" s="181">
        <v>28283</v>
      </c>
      <c r="E7" s="180">
        <v>32782.720000000001</v>
      </c>
      <c r="F7" s="180">
        <f t="shared" si="2"/>
        <v>4499.7200000000012</v>
      </c>
      <c r="G7" s="180"/>
      <c r="H7" s="19" t="s">
        <v>95</v>
      </c>
      <c r="N7" s="36" t="s">
        <v>8</v>
      </c>
      <c r="O7" s="180"/>
      <c r="P7" s="180"/>
      <c r="Q7" s="180"/>
      <c r="R7" s="182"/>
      <c r="U7" s="172"/>
    </row>
    <row r="8" spans="1:32" s="170" customFormat="1" ht="21.95" hidden="1" customHeight="1" x14ac:dyDescent="0.25">
      <c r="A8" s="460">
        <f t="shared" si="1"/>
        <v>6</v>
      </c>
      <c r="B8" s="36" t="s">
        <v>9</v>
      </c>
      <c r="C8" s="180"/>
      <c r="D8" s="181">
        <v>15508</v>
      </c>
      <c r="E8" s="180">
        <v>0</v>
      </c>
      <c r="F8" s="180">
        <f t="shared" si="2"/>
        <v>-15508</v>
      </c>
      <c r="G8" s="180"/>
      <c r="H8" s="19" t="s">
        <v>95</v>
      </c>
      <c r="N8" s="36" t="s">
        <v>9</v>
      </c>
      <c r="O8" s="180"/>
      <c r="P8" s="180"/>
      <c r="Q8" s="180"/>
      <c r="R8" s="182"/>
      <c r="U8" s="172"/>
    </row>
    <row r="9" spans="1:32" s="170" customFormat="1" ht="21.95" hidden="1" customHeight="1" x14ac:dyDescent="0.25">
      <c r="A9" s="460">
        <f t="shared" si="1"/>
        <v>7</v>
      </c>
      <c r="B9" s="469" t="s">
        <v>10</v>
      </c>
      <c r="C9" s="470">
        <v>0</v>
      </c>
      <c r="D9" s="471">
        <f>SUM(D5:D8)-1</f>
        <v>406441</v>
      </c>
      <c r="E9" s="470">
        <f t="shared" ref="E9" si="3">SUM(E5:E8)</f>
        <v>382616.80999999994</v>
      </c>
      <c r="F9" s="180">
        <f t="shared" si="2"/>
        <v>-23824.190000000061</v>
      </c>
      <c r="G9" s="470">
        <f>SUM(G5:G8)</f>
        <v>0</v>
      </c>
      <c r="H9" s="19" t="s">
        <v>95</v>
      </c>
      <c r="N9" s="469" t="s">
        <v>10</v>
      </c>
      <c r="O9" s="470">
        <f>SUM(O5:O8)</f>
        <v>0</v>
      </c>
      <c r="P9" s="470"/>
      <c r="Q9" s="470">
        <f>SUM(Q5:Q8)</f>
        <v>0</v>
      </c>
      <c r="R9" s="472"/>
      <c r="U9" s="172"/>
    </row>
    <row r="10" spans="1:32" s="170" customFormat="1" ht="21.95" hidden="1" customHeight="1" x14ac:dyDescent="0.25">
      <c r="A10" s="460">
        <f t="shared" si="1"/>
        <v>8</v>
      </c>
      <c r="B10" s="36" t="s">
        <v>11</v>
      </c>
      <c r="C10" s="180"/>
      <c r="D10" s="181">
        <v>340362</v>
      </c>
      <c r="E10" s="180">
        <v>503946.08</v>
      </c>
      <c r="F10" s="180">
        <f t="shared" si="2"/>
        <v>163584.08000000002</v>
      </c>
      <c r="G10" s="180"/>
      <c r="H10" s="19" t="s">
        <v>95</v>
      </c>
      <c r="N10" s="36" t="s">
        <v>11</v>
      </c>
      <c r="O10" s="180"/>
      <c r="P10" s="180"/>
      <c r="Q10" s="180"/>
      <c r="R10" s="182"/>
      <c r="U10" s="172"/>
    </row>
    <row r="11" spans="1:32" s="170" customFormat="1" ht="21.95" hidden="1" customHeight="1" x14ac:dyDescent="0.25">
      <c r="A11" s="460">
        <f t="shared" si="1"/>
        <v>9</v>
      </c>
      <c r="B11" s="36" t="s">
        <v>12</v>
      </c>
      <c r="C11" s="180"/>
      <c r="D11" s="181">
        <v>474279</v>
      </c>
      <c r="E11" s="180">
        <v>745479.62</v>
      </c>
      <c r="F11" s="180">
        <f t="shared" si="2"/>
        <v>271200.62</v>
      </c>
      <c r="G11" s="180"/>
      <c r="H11" s="19" t="s">
        <v>95</v>
      </c>
      <c r="N11" s="36" t="s">
        <v>12</v>
      </c>
      <c r="O11" s="180"/>
      <c r="P11" s="180"/>
      <c r="Q11" s="180"/>
      <c r="R11" s="182"/>
      <c r="U11" s="172"/>
    </row>
    <row r="12" spans="1:32" s="170" customFormat="1" ht="21.95" hidden="1" customHeight="1" x14ac:dyDescent="0.25">
      <c r="A12" s="460">
        <f>A11+1</f>
        <v>10</v>
      </c>
      <c r="B12" s="36" t="s">
        <v>13</v>
      </c>
      <c r="C12" s="180"/>
      <c r="D12" s="181">
        <v>159069</v>
      </c>
      <c r="E12" s="180">
        <v>243440.14</v>
      </c>
      <c r="F12" s="180">
        <f t="shared" si="2"/>
        <v>84371.140000000014</v>
      </c>
      <c r="G12" s="180"/>
      <c r="H12" s="19" t="s">
        <v>95</v>
      </c>
      <c r="N12" s="36" t="s">
        <v>13</v>
      </c>
      <c r="O12" s="180"/>
      <c r="P12" s="180"/>
      <c r="Q12" s="180"/>
      <c r="R12" s="182"/>
      <c r="U12" s="172"/>
    </row>
    <row r="13" spans="1:32" s="170" customFormat="1" ht="21.95" hidden="1" customHeight="1" x14ac:dyDescent="0.25">
      <c r="A13" s="460">
        <f t="shared" si="1"/>
        <v>11</v>
      </c>
      <c r="B13" s="36" t="s">
        <v>14</v>
      </c>
      <c r="C13" s="28"/>
      <c r="D13" s="188">
        <v>445345</v>
      </c>
      <c r="E13" s="28">
        <v>580199.37</v>
      </c>
      <c r="F13" s="180">
        <f t="shared" si="2"/>
        <v>134854.37</v>
      </c>
      <c r="G13" s="28"/>
      <c r="H13" s="19" t="s">
        <v>95</v>
      </c>
      <c r="N13" s="36" t="s">
        <v>14</v>
      </c>
      <c r="O13" s="28"/>
      <c r="P13" s="28"/>
      <c r="Q13" s="28"/>
      <c r="R13" s="189"/>
      <c r="U13" s="172"/>
    </row>
    <row r="14" spans="1:32" s="170" customFormat="1" ht="21.95" hidden="1" customHeight="1" x14ac:dyDescent="0.25">
      <c r="A14" s="460">
        <f t="shared" si="1"/>
        <v>12</v>
      </c>
      <c r="B14" s="36" t="s">
        <v>15</v>
      </c>
      <c r="C14" s="180"/>
      <c r="D14" s="181">
        <v>218871</v>
      </c>
      <c r="E14" s="180">
        <v>349942.89</v>
      </c>
      <c r="F14" s="180">
        <f t="shared" si="2"/>
        <v>131071.89000000001</v>
      </c>
      <c r="G14" s="180"/>
      <c r="H14" s="19" t="s">
        <v>95</v>
      </c>
      <c r="N14" s="36" t="s">
        <v>15</v>
      </c>
      <c r="O14" s="180"/>
      <c r="P14" s="180"/>
      <c r="Q14" s="180"/>
      <c r="R14" s="182"/>
      <c r="U14" s="172"/>
    </row>
    <row r="15" spans="1:32" s="170" customFormat="1" ht="21.95" hidden="1" customHeight="1" x14ac:dyDescent="0.25">
      <c r="A15" s="460">
        <f t="shared" si="1"/>
        <v>13</v>
      </c>
      <c r="B15" s="36" t="s">
        <v>16</v>
      </c>
      <c r="C15" s="180"/>
      <c r="D15" s="181">
        <v>316892</v>
      </c>
      <c r="E15" s="180">
        <v>590267.78</v>
      </c>
      <c r="F15" s="180">
        <f t="shared" si="2"/>
        <v>273375.78000000003</v>
      </c>
      <c r="G15" s="180"/>
      <c r="H15" s="19" t="s">
        <v>95</v>
      </c>
      <c r="N15" s="36" t="s">
        <v>16</v>
      </c>
      <c r="O15" s="180"/>
      <c r="P15" s="180"/>
      <c r="Q15" s="180"/>
      <c r="R15" s="182"/>
      <c r="U15" s="172"/>
    </row>
    <row r="16" spans="1:32" s="170" customFormat="1" ht="21.95" hidden="1" customHeight="1" x14ac:dyDescent="0.25">
      <c r="A16" s="460">
        <f t="shared" si="1"/>
        <v>14</v>
      </c>
      <c r="B16" s="36" t="s">
        <v>17</v>
      </c>
      <c r="C16" s="180"/>
      <c r="D16" s="181">
        <v>60683</v>
      </c>
      <c r="E16" s="180">
        <v>71524.95</v>
      </c>
      <c r="F16" s="180">
        <f t="shared" si="2"/>
        <v>10841.949999999997</v>
      </c>
      <c r="G16" s="180"/>
      <c r="H16" s="19" t="s">
        <v>95</v>
      </c>
      <c r="N16" s="36" t="s">
        <v>17</v>
      </c>
      <c r="O16" s="180"/>
      <c r="P16" s="180"/>
      <c r="Q16" s="180"/>
      <c r="R16" s="182"/>
      <c r="U16" s="172"/>
    </row>
    <row r="17" spans="1:21" s="170" customFormat="1" ht="21.95" hidden="1" customHeight="1" x14ac:dyDescent="0.25">
      <c r="A17" s="460">
        <f t="shared" si="1"/>
        <v>15</v>
      </c>
      <c r="B17" s="36" t="s">
        <v>18</v>
      </c>
      <c r="C17" s="180"/>
      <c r="D17" s="181">
        <v>31980</v>
      </c>
      <c r="E17" s="180">
        <v>32496.77</v>
      </c>
      <c r="F17" s="180">
        <f t="shared" si="2"/>
        <v>516.77000000000044</v>
      </c>
      <c r="G17" s="180"/>
      <c r="H17" s="19" t="s">
        <v>95</v>
      </c>
      <c r="N17" s="36" t="s">
        <v>18</v>
      </c>
      <c r="O17" s="180"/>
      <c r="P17" s="180"/>
      <c r="Q17" s="180"/>
      <c r="R17" s="182"/>
      <c r="U17" s="172"/>
    </row>
    <row r="18" spans="1:21" s="170" customFormat="1" ht="21.95" hidden="1" customHeight="1" x14ac:dyDescent="0.25">
      <c r="A18" s="460">
        <f t="shared" si="1"/>
        <v>16</v>
      </c>
      <c r="B18" s="36" t="s">
        <v>19</v>
      </c>
      <c r="C18" s="180"/>
      <c r="D18" s="181">
        <v>240015</v>
      </c>
      <c r="E18" s="180">
        <v>303706.28999999998</v>
      </c>
      <c r="F18" s="180">
        <f t="shared" si="2"/>
        <v>63691.289999999979</v>
      </c>
      <c r="G18" s="180"/>
      <c r="H18" s="19" t="s">
        <v>95</v>
      </c>
      <c r="N18" s="36" t="s">
        <v>19</v>
      </c>
      <c r="O18" s="180"/>
      <c r="P18" s="180"/>
      <c r="Q18" s="180"/>
      <c r="R18" s="182"/>
      <c r="U18" s="172"/>
    </row>
    <row r="19" spans="1:21" s="170" customFormat="1" ht="21.95" hidden="1" customHeight="1" x14ac:dyDescent="0.25">
      <c r="A19" s="460">
        <f t="shared" si="1"/>
        <v>17</v>
      </c>
      <c r="B19" s="36" t="s">
        <v>20</v>
      </c>
      <c r="C19" s="180"/>
      <c r="D19" s="181">
        <v>228163</v>
      </c>
      <c r="E19" s="180">
        <v>276267.7</v>
      </c>
      <c r="F19" s="180">
        <f t="shared" si="2"/>
        <v>48104.700000000012</v>
      </c>
      <c r="G19" s="180"/>
      <c r="H19" s="19" t="s">
        <v>95</v>
      </c>
      <c r="N19" s="36" t="s">
        <v>20</v>
      </c>
      <c r="O19" s="180"/>
      <c r="P19" s="180"/>
      <c r="Q19" s="180"/>
      <c r="R19" s="182"/>
      <c r="U19" s="172"/>
    </row>
    <row r="20" spans="1:21" s="170" customFormat="1" ht="21.95" hidden="1" customHeight="1" x14ac:dyDescent="0.25">
      <c r="A20" s="460">
        <f t="shared" si="1"/>
        <v>18</v>
      </c>
      <c r="B20" s="36" t="s">
        <v>21</v>
      </c>
      <c r="C20" s="180"/>
      <c r="D20" s="181">
        <v>114</v>
      </c>
      <c r="E20" s="180">
        <v>30290.98</v>
      </c>
      <c r="F20" s="180">
        <f t="shared" si="2"/>
        <v>30176.98</v>
      </c>
      <c r="G20" s="180"/>
      <c r="H20" s="19" t="s">
        <v>95</v>
      </c>
      <c r="N20" s="36" t="s">
        <v>21</v>
      </c>
      <c r="O20" s="180"/>
      <c r="P20" s="180"/>
      <c r="Q20" s="180"/>
      <c r="R20" s="182"/>
      <c r="U20" s="172"/>
    </row>
    <row r="21" spans="1:21" s="170" customFormat="1" ht="21.95" hidden="1" customHeight="1" x14ac:dyDescent="0.25">
      <c r="A21" s="460">
        <f t="shared" si="1"/>
        <v>19</v>
      </c>
      <c r="B21" s="36" t="s">
        <v>22</v>
      </c>
      <c r="C21" s="180"/>
      <c r="D21" s="181">
        <v>183</v>
      </c>
      <c r="E21" s="180">
        <v>31799.360000000001</v>
      </c>
      <c r="F21" s="180">
        <f t="shared" si="2"/>
        <v>31616.36</v>
      </c>
      <c r="G21" s="180"/>
      <c r="H21" s="19" t="s">
        <v>95</v>
      </c>
      <c r="N21" s="36" t="s">
        <v>22</v>
      </c>
      <c r="O21" s="180"/>
      <c r="P21" s="180"/>
      <c r="Q21" s="180"/>
      <c r="R21" s="182"/>
      <c r="U21" s="172"/>
    </row>
    <row r="22" spans="1:21" s="170" customFormat="1" ht="21.95" hidden="1" customHeight="1" x14ac:dyDescent="0.25">
      <c r="A22" s="460">
        <f t="shared" si="1"/>
        <v>20</v>
      </c>
      <c r="B22" s="469" t="s">
        <v>23</v>
      </c>
      <c r="C22" s="470">
        <v>0</v>
      </c>
      <c r="D22" s="471">
        <f>SUM(D10:D21)+2</f>
        <v>2515958</v>
      </c>
      <c r="E22" s="470">
        <f t="shared" ref="E22:G22" si="4">SUM(E10:E21)</f>
        <v>3759361.93</v>
      </c>
      <c r="F22" s="180">
        <f t="shared" si="2"/>
        <v>1243403.9300000002</v>
      </c>
      <c r="G22" s="470">
        <f t="shared" si="4"/>
        <v>0</v>
      </c>
      <c r="H22" s="19" t="s">
        <v>95</v>
      </c>
      <c r="N22" s="469" t="s">
        <v>23</v>
      </c>
      <c r="O22" s="470">
        <f t="shared" ref="O22:Q22" si="5">SUM(O10:O21)</f>
        <v>0</v>
      </c>
      <c r="P22" s="470"/>
      <c r="Q22" s="470">
        <f t="shared" si="5"/>
        <v>0</v>
      </c>
      <c r="R22" s="472"/>
      <c r="U22" s="172"/>
    </row>
    <row r="23" spans="1:21" s="170" customFormat="1" ht="21.95" hidden="1" customHeight="1" x14ac:dyDescent="0.25">
      <c r="A23" s="460">
        <f t="shared" si="1"/>
        <v>21</v>
      </c>
      <c r="B23" s="36" t="s">
        <v>24</v>
      </c>
      <c r="C23" s="180"/>
      <c r="D23" s="181">
        <v>12351</v>
      </c>
      <c r="E23" s="180">
        <v>15570.77</v>
      </c>
      <c r="F23" s="180">
        <f t="shared" si="2"/>
        <v>3219.7700000000004</v>
      </c>
      <c r="G23" s="180"/>
      <c r="H23" s="19" t="s">
        <v>95</v>
      </c>
      <c r="N23" s="36" t="s">
        <v>24</v>
      </c>
      <c r="O23" s="180"/>
      <c r="P23" s="180"/>
      <c r="Q23" s="180"/>
      <c r="R23" s="182"/>
      <c r="U23" s="172"/>
    </row>
    <row r="24" spans="1:21" s="170" customFormat="1" ht="21.95" hidden="1" customHeight="1" x14ac:dyDescent="0.25">
      <c r="A24" s="460">
        <f t="shared" si="1"/>
        <v>22</v>
      </c>
      <c r="B24" s="36" t="s">
        <v>25</v>
      </c>
      <c r="C24" s="180"/>
      <c r="D24" s="181">
        <v>549974</v>
      </c>
      <c r="E24" s="180">
        <v>747081.28</v>
      </c>
      <c r="F24" s="180">
        <f t="shared" si="2"/>
        <v>197107.28000000003</v>
      </c>
      <c r="G24" s="180"/>
      <c r="H24" s="19" t="s">
        <v>95</v>
      </c>
      <c r="N24" s="36" t="s">
        <v>25</v>
      </c>
      <c r="O24" s="180"/>
      <c r="P24" s="180"/>
      <c r="Q24" s="180"/>
      <c r="R24" s="182"/>
      <c r="U24" s="172"/>
    </row>
    <row r="25" spans="1:21" s="170" customFormat="1" ht="21.95" hidden="1" customHeight="1" x14ac:dyDescent="0.25">
      <c r="A25" s="460">
        <f t="shared" si="1"/>
        <v>23</v>
      </c>
      <c r="B25" s="469" t="s">
        <v>26</v>
      </c>
      <c r="C25" s="470">
        <v>0</v>
      </c>
      <c r="D25" s="471">
        <f t="shared" ref="D25:G25" si="6">SUM(D23:D24)</f>
        <v>562325</v>
      </c>
      <c r="E25" s="470">
        <f t="shared" si="6"/>
        <v>762652.05</v>
      </c>
      <c r="F25" s="180">
        <f t="shared" si="2"/>
        <v>200327.05000000005</v>
      </c>
      <c r="G25" s="471">
        <f t="shared" si="6"/>
        <v>0</v>
      </c>
      <c r="H25" s="19" t="s">
        <v>95</v>
      </c>
      <c r="N25" s="469" t="s">
        <v>26</v>
      </c>
      <c r="O25" s="471">
        <f t="shared" ref="O25:Q25" si="7">SUM(O23:O24)</f>
        <v>0</v>
      </c>
      <c r="P25" s="471"/>
      <c r="Q25" s="471">
        <f t="shared" si="7"/>
        <v>0</v>
      </c>
      <c r="R25" s="473"/>
      <c r="U25" s="172"/>
    </row>
    <row r="26" spans="1:21" s="170" customFormat="1" ht="21.95" hidden="1" customHeight="1" x14ac:dyDescent="0.25">
      <c r="A26" s="460">
        <f t="shared" si="1"/>
        <v>24</v>
      </c>
      <c r="B26" s="36" t="s">
        <v>27</v>
      </c>
      <c r="C26" s="28">
        <v>0</v>
      </c>
      <c r="D26" s="188">
        <v>65575</v>
      </c>
      <c r="E26" s="28">
        <v>0</v>
      </c>
      <c r="F26" s="180">
        <f t="shared" si="2"/>
        <v>-65575</v>
      </c>
      <c r="G26" s="28"/>
      <c r="H26" s="19" t="s">
        <v>95</v>
      </c>
      <c r="N26" s="36" t="s">
        <v>27</v>
      </c>
      <c r="O26" s="28"/>
      <c r="P26" s="28"/>
      <c r="Q26" s="28"/>
      <c r="R26" s="189"/>
      <c r="U26" s="172"/>
    </row>
    <row r="27" spans="1:21" s="170" customFormat="1" ht="21.95" hidden="1" customHeight="1" x14ac:dyDescent="0.25">
      <c r="A27" s="460">
        <f t="shared" si="1"/>
        <v>25</v>
      </c>
      <c r="B27" s="36" t="s">
        <v>28</v>
      </c>
      <c r="C27" s="28">
        <v>0</v>
      </c>
      <c r="D27" s="188">
        <v>26240</v>
      </c>
      <c r="E27" s="28">
        <v>0</v>
      </c>
      <c r="F27" s="180">
        <f t="shared" si="2"/>
        <v>-26240</v>
      </c>
      <c r="G27" s="28"/>
      <c r="H27" s="19" t="s">
        <v>95</v>
      </c>
      <c r="N27" s="36" t="s">
        <v>28</v>
      </c>
      <c r="O27" s="28"/>
      <c r="P27" s="28"/>
      <c r="Q27" s="28"/>
      <c r="R27" s="189"/>
      <c r="U27" s="172"/>
    </row>
    <row r="28" spans="1:21" s="170" customFormat="1" ht="21.95" hidden="1" customHeight="1" x14ac:dyDescent="0.25">
      <c r="A28" s="460">
        <f t="shared" si="1"/>
        <v>26</v>
      </c>
      <c r="B28" s="36" t="s">
        <v>29</v>
      </c>
      <c r="C28" s="180"/>
      <c r="D28" s="181">
        <v>20996</v>
      </c>
      <c r="E28" s="180">
        <v>73081.87</v>
      </c>
      <c r="F28" s="180">
        <f t="shared" si="2"/>
        <v>52085.869999999995</v>
      </c>
      <c r="G28" s="180"/>
      <c r="H28" s="19" t="s">
        <v>95</v>
      </c>
      <c r="N28" s="36" t="s">
        <v>29</v>
      </c>
      <c r="O28" s="180"/>
      <c r="P28" s="180"/>
      <c r="Q28" s="180"/>
      <c r="R28" s="182"/>
      <c r="U28" s="172"/>
    </row>
    <row r="29" spans="1:21" s="170" customFormat="1" ht="21.95" hidden="1" customHeight="1" x14ac:dyDescent="0.25">
      <c r="A29" s="460">
        <f t="shared" si="1"/>
        <v>27</v>
      </c>
      <c r="B29" s="469" t="s">
        <v>30</v>
      </c>
      <c r="C29" s="470">
        <v>0</v>
      </c>
      <c r="D29" s="471">
        <f>SUM(D26:D28)+1</f>
        <v>112812</v>
      </c>
      <c r="E29" s="470">
        <f t="shared" ref="E29:G29" si="8">SUM(E26:E28)</f>
        <v>73081.87</v>
      </c>
      <c r="F29" s="180">
        <f t="shared" si="2"/>
        <v>-39730.130000000005</v>
      </c>
      <c r="G29" s="471">
        <f t="shared" si="8"/>
        <v>0</v>
      </c>
      <c r="H29" s="19" t="s">
        <v>95</v>
      </c>
      <c r="N29" s="469" t="s">
        <v>30</v>
      </c>
      <c r="O29" s="471">
        <f t="shared" ref="O29:Q29" si="9">SUM(O26:O28)</f>
        <v>0</v>
      </c>
      <c r="P29" s="471"/>
      <c r="Q29" s="471">
        <f t="shared" si="9"/>
        <v>0</v>
      </c>
      <c r="R29" s="473"/>
      <c r="U29" s="172"/>
    </row>
    <row r="30" spans="1:21" s="170" customFormat="1" ht="21.95" hidden="1" customHeight="1" x14ac:dyDescent="0.25">
      <c r="A30" s="460">
        <f t="shared" si="1"/>
        <v>28</v>
      </c>
      <c r="B30" s="36" t="s">
        <v>31</v>
      </c>
      <c r="C30" s="180"/>
      <c r="D30" s="181">
        <v>21011</v>
      </c>
      <c r="E30" s="180">
        <v>33347.15</v>
      </c>
      <c r="F30" s="180">
        <f t="shared" si="2"/>
        <v>12336.150000000001</v>
      </c>
      <c r="G30" s="180"/>
      <c r="H30" s="19" t="s">
        <v>95</v>
      </c>
      <c r="N30" s="36" t="s">
        <v>31</v>
      </c>
      <c r="O30" s="180"/>
      <c r="P30" s="180"/>
      <c r="Q30" s="180"/>
      <c r="R30" s="182"/>
      <c r="U30" s="172"/>
    </row>
    <row r="31" spans="1:21" s="170" customFormat="1" ht="21.95" hidden="1" customHeight="1" x14ac:dyDescent="0.25">
      <c r="A31" s="460">
        <f t="shared" si="1"/>
        <v>29</v>
      </c>
      <c r="B31" s="36" t="s">
        <v>32</v>
      </c>
      <c r="C31" s="180"/>
      <c r="D31" s="181">
        <v>4820</v>
      </c>
      <c r="E31" s="180">
        <v>10655.7</v>
      </c>
      <c r="F31" s="180">
        <f t="shared" si="2"/>
        <v>5835.7000000000007</v>
      </c>
      <c r="G31" s="180"/>
      <c r="H31" s="19" t="s">
        <v>95</v>
      </c>
      <c r="N31" s="36" t="s">
        <v>32</v>
      </c>
      <c r="O31" s="180"/>
      <c r="P31" s="180"/>
      <c r="Q31" s="180"/>
      <c r="R31" s="182"/>
      <c r="U31" s="172"/>
    </row>
    <row r="32" spans="1:21" s="170" customFormat="1" ht="21.95" hidden="1" customHeight="1" x14ac:dyDescent="0.25">
      <c r="A32" s="460">
        <f t="shared" si="1"/>
        <v>30</v>
      </c>
      <c r="B32" s="36" t="s">
        <v>33</v>
      </c>
      <c r="C32" s="180"/>
      <c r="D32" s="181">
        <v>42</v>
      </c>
      <c r="E32" s="180">
        <v>369.67</v>
      </c>
      <c r="F32" s="180">
        <f t="shared" si="2"/>
        <v>327.67</v>
      </c>
      <c r="G32" s="180"/>
      <c r="H32" s="19" t="s">
        <v>95</v>
      </c>
      <c r="N32" s="36" t="s">
        <v>33</v>
      </c>
      <c r="O32" s="180"/>
      <c r="P32" s="180"/>
      <c r="Q32" s="180"/>
      <c r="R32" s="182"/>
      <c r="U32" s="172"/>
    </row>
    <row r="33" spans="1:32" s="170" customFormat="1" ht="21.95" hidden="1" customHeight="1" x14ac:dyDescent="0.25">
      <c r="A33" s="460">
        <f t="shared" si="1"/>
        <v>31</v>
      </c>
      <c r="B33" s="36" t="s">
        <v>34</v>
      </c>
      <c r="C33" s="180"/>
      <c r="D33" s="181">
        <v>14508</v>
      </c>
      <c r="E33" s="180">
        <v>13750.35</v>
      </c>
      <c r="F33" s="180">
        <f t="shared" si="2"/>
        <v>-757.64999999999964</v>
      </c>
      <c r="G33" s="180"/>
      <c r="H33" s="19" t="s">
        <v>95</v>
      </c>
      <c r="N33" s="36" t="s">
        <v>34</v>
      </c>
      <c r="O33" s="180"/>
      <c r="P33" s="180"/>
      <c r="Q33" s="180"/>
      <c r="R33" s="182"/>
      <c r="U33" s="172"/>
    </row>
    <row r="34" spans="1:32" s="170" customFormat="1" ht="21.95" hidden="1" customHeight="1" x14ac:dyDescent="0.25">
      <c r="A34" s="460">
        <f t="shared" si="1"/>
        <v>32</v>
      </c>
      <c r="B34" s="36" t="s">
        <v>35</v>
      </c>
      <c r="C34" s="180"/>
      <c r="D34" s="181">
        <v>163967</v>
      </c>
      <c r="E34" s="180">
        <v>194146.78</v>
      </c>
      <c r="F34" s="180">
        <f t="shared" si="2"/>
        <v>30179.78</v>
      </c>
      <c r="G34" s="180"/>
      <c r="H34" s="19" t="s">
        <v>95</v>
      </c>
      <c r="N34" s="36" t="s">
        <v>35</v>
      </c>
      <c r="O34" s="180"/>
      <c r="P34" s="180"/>
      <c r="Q34" s="180"/>
      <c r="R34" s="182"/>
      <c r="U34" s="172"/>
    </row>
    <row r="35" spans="1:32" s="170" customFormat="1" ht="21.95" hidden="1" customHeight="1" x14ac:dyDescent="0.25">
      <c r="A35" s="460">
        <f t="shared" si="1"/>
        <v>33</v>
      </c>
      <c r="B35" s="29" t="s">
        <v>36</v>
      </c>
      <c r="C35" s="28"/>
      <c r="D35" s="188">
        <v>93869</v>
      </c>
      <c r="E35" s="28">
        <v>200000</v>
      </c>
      <c r="F35" s="180">
        <f t="shared" si="2"/>
        <v>106131</v>
      </c>
      <c r="G35" s="28"/>
      <c r="H35" s="19" t="s">
        <v>95</v>
      </c>
      <c r="N35" s="29" t="s">
        <v>36</v>
      </c>
      <c r="O35" s="28"/>
      <c r="P35" s="28"/>
      <c r="Q35" s="28"/>
      <c r="R35" s="189"/>
      <c r="U35" s="172"/>
    </row>
    <row r="36" spans="1:32" s="170" customFormat="1" ht="21.95" hidden="1" customHeight="1" x14ac:dyDescent="0.25">
      <c r="A36" s="460">
        <f t="shared" si="1"/>
        <v>34</v>
      </c>
      <c r="B36" s="474" t="s">
        <v>37</v>
      </c>
      <c r="C36" s="475">
        <v>1800000</v>
      </c>
      <c r="D36" s="476">
        <f t="shared" ref="D36:G36" si="10">SUM(D37)</f>
        <v>1200000</v>
      </c>
      <c r="E36" s="475">
        <f t="shared" si="10"/>
        <v>1550000</v>
      </c>
      <c r="F36" s="475">
        <f>E36-D36</f>
        <v>350000</v>
      </c>
      <c r="G36" s="475">
        <f t="shared" si="10"/>
        <v>1800000</v>
      </c>
      <c r="H36" s="19" t="s">
        <v>95</v>
      </c>
      <c r="I36" s="179"/>
      <c r="J36" s="179"/>
      <c r="K36" s="179"/>
      <c r="L36" s="179"/>
      <c r="M36" s="179"/>
      <c r="N36" s="474" t="s">
        <v>37</v>
      </c>
      <c r="O36" s="475">
        <f t="shared" ref="O36:Q36" si="11">SUM(O37)</f>
        <v>1800000</v>
      </c>
      <c r="P36" s="475"/>
      <c r="Q36" s="475">
        <f t="shared" si="11"/>
        <v>1800000</v>
      </c>
      <c r="R36" s="477"/>
      <c r="S36" s="179"/>
      <c r="T36" s="179"/>
      <c r="U36" s="195"/>
      <c r="V36" s="179"/>
      <c r="W36" s="179"/>
      <c r="X36" s="179"/>
      <c r="Y36" s="179"/>
      <c r="Z36" s="179"/>
      <c r="AA36" s="179"/>
      <c r="AB36" s="179"/>
      <c r="AC36" s="179"/>
      <c r="AD36" s="179"/>
      <c r="AE36" s="179"/>
      <c r="AF36" s="179"/>
    </row>
    <row r="37" spans="1:32" s="170" customFormat="1" ht="21.95" hidden="1" customHeight="1" x14ac:dyDescent="0.25">
      <c r="A37" s="460">
        <f t="shared" si="1"/>
        <v>35</v>
      </c>
      <c r="B37" s="196" t="s">
        <v>38</v>
      </c>
      <c r="C37" s="197"/>
      <c r="D37" s="198">
        <v>1200000</v>
      </c>
      <c r="E37" s="197">
        <v>1550000</v>
      </c>
      <c r="F37" s="197">
        <f>E37-D37</f>
        <v>350000</v>
      </c>
      <c r="G37" s="197">
        <v>1800000</v>
      </c>
      <c r="H37" s="19" t="s">
        <v>95</v>
      </c>
      <c r="N37" s="196" t="s">
        <v>38</v>
      </c>
      <c r="O37" s="197">
        <v>1800000</v>
      </c>
      <c r="P37" s="197"/>
      <c r="Q37" s="197">
        <v>1800000</v>
      </c>
      <c r="R37" s="199"/>
      <c r="U37" s="172"/>
    </row>
    <row r="38" spans="1:32" s="170" customFormat="1" ht="21.95" hidden="1" customHeight="1" x14ac:dyDescent="0.25">
      <c r="A38" s="460"/>
      <c r="B38" s="478" t="s">
        <v>687</v>
      </c>
      <c r="C38" s="479"/>
      <c r="D38" s="480"/>
      <c r="E38" s="479"/>
      <c r="F38" s="479"/>
      <c r="G38" s="479">
        <f>'[1]previsione SMS 22-23-24'!B43</f>
        <v>611267.12328767125</v>
      </c>
      <c r="H38" s="19" t="s">
        <v>95</v>
      </c>
      <c r="I38" s="479">
        <f>SUM(580000+90000)/12*11</f>
        <v>614166.66666666674</v>
      </c>
      <c r="N38" s="478" t="s">
        <v>687</v>
      </c>
      <c r="O38" s="479">
        <f>'[1]previsione SMS 22-23-24'!E43</f>
        <v>686500</v>
      </c>
      <c r="P38" s="479"/>
      <c r="Q38" s="479">
        <f>'[1]previsione SMS 22-23-24'!H43</f>
        <v>686500</v>
      </c>
      <c r="R38" s="481"/>
      <c r="U38" s="172"/>
    </row>
    <row r="39" spans="1:32" s="170" customFormat="1" ht="21.95" hidden="1" customHeight="1" x14ac:dyDescent="0.25">
      <c r="A39" s="460">
        <f>A37+1</f>
        <v>36</v>
      </c>
      <c r="B39" s="27" t="s">
        <v>39</v>
      </c>
      <c r="C39" s="180"/>
      <c r="D39" s="181"/>
      <c r="E39" s="180"/>
      <c r="F39" s="180"/>
      <c r="G39" s="180"/>
      <c r="H39" s="19" t="s">
        <v>95</v>
      </c>
      <c r="N39" s="27" t="s">
        <v>39</v>
      </c>
      <c r="O39" s="180"/>
      <c r="P39" s="180"/>
      <c r="Q39" s="180"/>
      <c r="R39" s="182"/>
      <c r="U39" s="172"/>
    </row>
    <row r="40" spans="1:32" s="170" customFormat="1" ht="21.95" hidden="1" customHeight="1" x14ac:dyDescent="0.25">
      <c r="A40" s="460">
        <f t="shared" si="1"/>
        <v>37</v>
      </c>
      <c r="B40" s="461" t="s">
        <v>39</v>
      </c>
      <c r="C40" s="462">
        <v>472881.23</v>
      </c>
      <c r="D40" s="463">
        <f>D41+D65</f>
        <v>552590</v>
      </c>
      <c r="E40" s="462">
        <f>E41+E65</f>
        <v>570263.77999999991</v>
      </c>
      <c r="F40" s="462">
        <f>E40-D40</f>
        <v>17673.779999999912</v>
      </c>
      <c r="G40" s="462">
        <f>G41+G65+G71</f>
        <v>126838.04999999999</v>
      </c>
      <c r="H40" s="19" t="s">
        <v>95</v>
      </c>
      <c r="N40" s="461" t="s">
        <v>39</v>
      </c>
      <c r="O40" s="462">
        <f>O41+O65+O71</f>
        <v>250668.31999999998</v>
      </c>
      <c r="P40" s="462"/>
      <c r="Q40" s="462">
        <f>Q41+Q65+Q71</f>
        <v>126834.15999999999</v>
      </c>
      <c r="R40" s="464"/>
      <c r="U40" s="172"/>
    </row>
    <row r="41" spans="1:32" s="170" customFormat="1" ht="21.95" hidden="1" customHeight="1" x14ac:dyDescent="0.25">
      <c r="A41" s="460">
        <f t="shared" si="1"/>
        <v>38</v>
      </c>
      <c r="B41" s="465" t="s">
        <v>40</v>
      </c>
      <c r="C41" s="465">
        <v>472539.56</v>
      </c>
      <c r="D41" s="482">
        <f>D42+D46</f>
        <v>547074</v>
      </c>
      <c r="E41" s="483">
        <f>E42+E46</f>
        <v>566774.1399999999</v>
      </c>
      <c r="F41" s="483">
        <f>E41-D41</f>
        <v>19700.139999999898</v>
      </c>
      <c r="G41" s="482">
        <f>G42+G46</f>
        <v>123837.73999999999</v>
      </c>
      <c r="H41" s="19" t="s">
        <v>95</v>
      </c>
      <c r="N41" s="465" t="s">
        <v>40</v>
      </c>
      <c r="O41" s="482">
        <f>O42+O46</f>
        <v>247668.31999999998</v>
      </c>
      <c r="P41" s="482"/>
      <c r="Q41" s="482">
        <f>Q42+Q46</f>
        <v>123834.15999999999</v>
      </c>
      <c r="R41" s="484"/>
      <c r="U41" s="172"/>
    </row>
    <row r="42" spans="1:32" s="170" customFormat="1" ht="21.95" hidden="1" customHeight="1" x14ac:dyDescent="0.25">
      <c r="A42" s="485"/>
      <c r="B42" s="486" t="s">
        <v>688</v>
      </c>
      <c r="C42" s="197"/>
      <c r="D42" s="411">
        <f>SUM(D43:D45)</f>
        <v>0</v>
      </c>
      <c r="E42" s="385">
        <f>SUM(E43:E45)</f>
        <v>264953</v>
      </c>
      <c r="F42" s="197">
        <f>E42-D42</f>
        <v>264953</v>
      </c>
      <c r="G42" s="215">
        <f>SUM(G43:G45)</f>
        <v>0</v>
      </c>
      <c r="H42" s="19" t="s">
        <v>95</v>
      </c>
      <c r="N42" s="486" t="s">
        <v>688</v>
      </c>
      <c r="O42" s="215">
        <f>SUM(O43:O45)</f>
        <v>0</v>
      </c>
      <c r="P42" s="215"/>
      <c r="Q42" s="215">
        <f>SUM(Q43:Q45)</f>
        <v>0</v>
      </c>
      <c r="R42" s="216"/>
      <c r="U42" s="172"/>
    </row>
    <row r="43" spans="1:32" s="170" customFormat="1" ht="21.95" hidden="1" customHeight="1" x14ac:dyDescent="0.25">
      <c r="A43" s="485">
        <f>A59+1</f>
        <v>52</v>
      </c>
      <c r="B43" s="196" t="s">
        <v>689</v>
      </c>
      <c r="C43" s="197">
        <v>179286</v>
      </c>
      <c r="D43" s="198"/>
      <c r="E43" s="197">
        <v>179286</v>
      </c>
      <c r="F43" s="197">
        <f t="shared" ref="F43:F45" si="12">E43-D43</f>
        <v>179286</v>
      </c>
      <c r="G43" s="217">
        <f>'[1]64,05,519 CONTR.FO.PERDUTO'!P1</f>
        <v>0</v>
      </c>
      <c r="H43" s="19" t="s">
        <v>95</v>
      </c>
      <c r="N43" s="196" t="s">
        <v>689</v>
      </c>
      <c r="O43" s="217">
        <f>'[1]64,05,519 CONTR.FO.PERDUTO'!V1</f>
        <v>0</v>
      </c>
      <c r="P43" s="217"/>
      <c r="Q43" s="217">
        <f>'[1]64,05,519 CONTR.FO.PERDUTO'!W1</f>
        <v>0</v>
      </c>
      <c r="R43" s="199"/>
      <c r="U43" s="172"/>
    </row>
    <row r="44" spans="1:32" s="170" customFormat="1" ht="21.95" hidden="1" customHeight="1" x14ac:dyDescent="0.25">
      <c r="A44" s="485"/>
      <c r="B44" s="196" t="s">
        <v>690</v>
      </c>
      <c r="C44" s="197"/>
      <c r="D44" s="198"/>
      <c r="E44" s="197">
        <v>5318</v>
      </c>
      <c r="F44" s="197">
        <f t="shared" si="12"/>
        <v>5318</v>
      </c>
      <c r="G44" s="217"/>
      <c r="H44" s="19" t="s">
        <v>95</v>
      </c>
      <c r="N44" s="196" t="s">
        <v>690</v>
      </c>
      <c r="O44" s="217"/>
      <c r="P44" s="217"/>
      <c r="Q44" s="217"/>
      <c r="R44" s="199"/>
      <c r="U44" s="172"/>
    </row>
    <row r="45" spans="1:32" s="170" customFormat="1" ht="21.95" hidden="1" customHeight="1" x14ac:dyDescent="0.25">
      <c r="A45" s="485"/>
      <c r="B45" s="196" t="s">
        <v>691</v>
      </c>
      <c r="C45" s="218"/>
      <c r="D45" s="198"/>
      <c r="E45" s="197">
        <v>80349</v>
      </c>
      <c r="F45" s="197">
        <f t="shared" si="12"/>
        <v>80349</v>
      </c>
      <c r="G45" s="219"/>
      <c r="H45" s="19" t="s">
        <v>95</v>
      </c>
      <c r="N45" s="196" t="s">
        <v>691</v>
      </c>
      <c r="O45" s="219"/>
      <c r="P45" s="219"/>
      <c r="Q45" s="219"/>
      <c r="R45" s="220"/>
      <c r="U45" s="172"/>
    </row>
    <row r="46" spans="1:32" s="170" customFormat="1" ht="21.95" hidden="1" customHeight="1" x14ac:dyDescent="0.25">
      <c r="A46" s="485"/>
      <c r="B46" s="486" t="s">
        <v>692</v>
      </c>
      <c r="C46" s="218"/>
      <c r="D46" s="411">
        <f>SUM(D47:D63)</f>
        <v>547074</v>
      </c>
      <c r="E46" s="385">
        <f>SUM(E47:E63)</f>
        <v>301821.13999999996</v>
      </c>
      <c r="F46" s="385">
        <f>E46-D46</f>
        <v>-245252.86000000004</v>
      </c>
      <c r="G46" s="487">
        <f>SUM(G47:L64)</f>
        <v>123837.73999999999</v>
      </c>
      <c r="H46" s="19" t="s">
        <v>95</v>
      </c>
      <c r="N46" s="486" t="s">
        <v>692</v>
      </c>
      <c r="O46" s="487">
        <f>SUM(O47:W64)</f>
        <v>247668.31999999998</v>
      </c>
      <c r="P46" s="487"/>
      <c r="Q46" s="487">
        <f>SUM(Q47:X64)</f>
        <v>123834.15999999999</v>
      </c>
      <c r="R46" s="488"/>
      <c r="U46" s="172"/>
    </row>
    <row r="47" spans="1:32" s="170" customFormat="1" ht="21.95" hidden="1" customHeight="1" x14ac:dyDescent="0.25">
      <c r="A47" s="460">
        <f>A41+1</f>
        <v>39</v>
      </c>
      <c r="B47" s="225" t="s">
        <v>693</v>
      </c>
      <c r="C47" s="197">
        <v>3</v>
      </c>
      <c r="D47" s="198">
        <v>2</v>
      </c>
      <c r="E47" s="197">
        <v>1.9</v>
      </c>
      <c r="F47" s="197">
        <f>E47-D47</f>
        <v>-0.10000000000000009</v>
      </c>
      <c r="G47" s="217">
        <f>'[1]64,05,100 ABBUONI E ARROTOND.IM'!P1</f>
        <v>3.58</v>
      </c>
      <c r="H47" s="19" t="s">
        <v>95</v>
      </c>
      <c r="N47" s="225" t="s">
        <v>693</v>
      </c>
      <c r="O47" s="217">
        <f>'[1]64,05,100 ABBUONI E ARROTOND.IM'!V1</f>
        <v>0</v>
      </c>
      <c r="P47" s="217"/>
      <c r="Q47" s="217">
        <f>'[1]64,05,100 ABBUONI E ARROTOND.IM'!W1</f>
        <v>0</v>
      </c>
      <c r="R47" s="199"/>
      <c r="U47" s="172"/>
    </row>
    <row r="48" spans="1:32" s="170" customFormat="1" ht="21.95" hidden="1" customHeight="1" x14ac:dyDescent="0.25">
      <c r="A48" s="485">
        <f t="shared" ref="A48:A59" si="13">A47+1</f>
        <v>40</v>
      </c>
      <c r="B48" s="196" t="s">
        <v>42</v>
      </c>
      <c r="C48" s="197">
        <v>30447.16</v>
      </c>
      <c r="D48" s="198">
        <v>13315</v>
      </c>
      <c r="E48" s="197">
        <v>28649.61</v>
      </c>
      <c r="F48" s="197">
        <f t="shared" ref="F48:F63" si="14">E48-D48</f>
        <v>15334.61</v>
      </c>
      <c r="G48" s="217">
        <f>'[1]64,05,501 prov.pubbl'!P1</f>
        <v>28649.61</v>
      </c>
      <c r="H48" s="19" t="s">
        <v>95</v>
      </c>
      <c r="N48" s="196" t="s">
        <v>42</v>
      </c>
      <c r="O48" s="217">
        <f>G48</f>
        <v>28649.61</v>
      </c>
      <c r="P48" s="217"/>
      <c r="Q48" s="217">
        <f>O48</f>
        <v>28649.61</v>
      </c>
      <c r="R48" s="199"/>
      <c r="U48" s="172"/>
    </row>
    <row r="49" spans="1:21" s="170" customFormat="1" ht="21.95" hidden="1" customHeight="1" x14ac:dyDescent="0.25">
      <c r="A49" s="485">
        <f t="shared" si="13"/>
        <v>41</v>
      </c>
      <c r="B49" s="196" t="s">
        <v>43</v>
      </c>
      <c r="C49" s="197">
        <v>9523</v>
      </c>
      <c r="D49" s="198">
        <v>22310</v>
      </c>
      <c r="E49" s="197">
        <v>24728.44</v>
      </c>
      <c r="F49" s="197">
        <f t="shared" si="14"/>
        <v>2418.4399999999987</v>
      </c>
      <c r="G49" s="217">
        <v>15000</v>
      </c>
      <c r="H49" s="19" t="s">
        <v>95</v>
      </c>
      <c r="N49" s="196" t="s">
        <v>43</v>
      </c>
      <c r="O49" s="217">
        <v>15000</v>
      </c>
      <c r="P49" s="217"/>
      <c r="Q49" s="217">
        <v>15000</v>
      </c>
      <c r="R49" s="199"/>
      <c r="U49" s="172"/>
    </row>
    <row r="50" spans="1:21" s="170" customFormat="1" ht="21.95" hidden="1" customHeight="1" x14ac:dyDescent="0.25">
      <c r="A50" s="485">
        <f t="shared" si="13"/>
        <v>42</v>
      </c>
      <c r="B50" s="196" t="s">
        <v>44</v>
      </c>
      <c r="C50" s="197">
        <v>24000</v>
      </c>
      <c r="D50" s="198">
        <v>24000</v>
      </c>
      <c r="E50" s="197">
        <v>24000</v>
      </c>
      <c r="F50" s="197">
        <f t="shared" si="14"/>
        <v>0</v>
      </c>
      <c r="G50" s="217">
        <f>'[1]64,05,503 proventi vari'!P1</f>
        <v>24000</v>
      </c>
      <c r="H50" s="19" t="s">
        <v>95</v>
      </c>
      <c r="N50" s="196" t="s">
        <v>44</v>
      </c>
      <c r="O50" s="217">
        <f>G50</f>
        <v>24000</v>
      </c>
      <c r="P50" s="217"/>
      <c r="Q50" s="217">
        <f>O50</f>
        <v>24000</v>
      </c>
      <c r="R50" s="199"/>
      <c r="U50" s="172"/>
    </row>
    <row r="51" spans="1:21" s="170" customFormat="1" ht="21.95" hidden="1" customHeight="1" x14ac:dyDescent="0.25">
      <c r="A51" s="485">
        <f t="shared" si="13"/>
        <v>43</v>
      </c>
      <c r="B51" s="196" t="s">
        <v>694</v>
      </c>
      <c r="C51" s="197">
        <v>28892</v>
      </c>
      <c r="D51" s="198"/>
      <c r="E51" s="197">
        <v>16832.150000000001</v>
      </c>
      <c r="F51" s="197">
        <f t="shared" si="14"/>
        <v>16832.150000000001</v>
      </c>
      <c r="G51" s="217">
        <v>13800</v>
      </c>
      <c r="H51" s="19" t="s">
        <v>95</v>
      </c>
      <c r="N51" s="196" t="s">
        <v>694</v>
      </c>
      <c r="O51" s="217">
        <v>13800</v>
      </c>
      <c r="P51" s="217"/>
      <c r="Q51" s="217">
        <v>13800</v>
      </c>
      <c r="R51" s="199"/>
      <c r="S51" s="170" t="s">
        <v>695</v>
      </c>
      <c r="U51" s="172"/>
    </row>
    <row r="52" spans="1:21" s="170" customFormat="1" ht="21.95" hidden="1" customHeight="1" x14ac:dyDescent="0.25">
      <c r="A52" s="485">
        <f t="shared" si="13"/>
        <v>44</v>
      </c>
      <c r="B52" s="196" t="s">
        <v>45</v>
      </c>
      <c r="C52" s="197">
        <v>9356</v>
      </c>
      <c r="D52" s="198">
        <v>1428</v>
      </c>
      <c r="E52" s="197">
        <v>9913.4</v>
      </c>
      <c r="F52" s="197">
        <f t="shared" si="14"/>
        <v>8485.4</v>
      </c>
      <c r="G52" s="217">
        <f>'[1]64,05,507 soprav.att.cau'!P1</f>
        <v>9913.4</v>
      </c>
      <c r="H52" s="19" t="s">
        <v>95</v>
      </c>
      <c r="N52" s="196" t="s">
        <v>45</v>
      </c>
      <c r="O52" s="217">
        <v>9913.4</v>
      </c>
      <c r="P52" s="217"/>
      <c r="Q52" s="217">
        <v>9913.4</v>
      </c>
      <c r="R52" s="199"/>
      <c r="U52" s="172"/>
    </row>
    <row r="53" spans="1:21" s="170" customFormat="1" ht="21.95" hidden="1" customHeight="1" x14ac:dyDescent="0.25">
      <c r="A53" s="485">
        <f t="shared" si="13"/>
        <v>45</v>
      </c>
      <c r="B53" s="196" t="s">
        <v>46</v>
      </c>
      <c r="C53" s="197">
        <v>1983</v>
      </c>
      <c r="D53" s="198">
        <v>1889</v>
      </c>
      <c r="E53" s="197">
        <v>2482.4</v>
      </c>
      <c r="F53" s="197">
        <f t="shared" si="14"/>
        <v>593.40000000000009</v>
      </c>
      <c r="G53" s="217">
        <f>'[1]64,05,508 soprav.att.parcometri'!P1</f>
        <v>2482.4</v>
      </c>
      <c r="H53" s="19" t="s">
        <v>95</v>
      </c>
      <c r="N53" s="196" t="s">
        <v>46</v>
      </c>
      <c r="O53" s="217">
        <v>2482.4</v>
      </c>
      <c r="P53" s="217"/>
      <c r="Q53" s="217">
        <v>2482.4</v>
      </c>
      <c r="R53" s="199"/>
      <c r="U53" s="172"/>
    </row>
    <row r="54" spans="1:21" s="170" customFormat="1" ht="21.95" hidden="1" customHeight="1" x14ac:dyDescent="0.25">
      <c r="A54" s="485">
        <f t="shared" si="13"/>
        <v>46</v>
      </c>
      <c r="B54" s="196" t="s">
        <v>696</v>
      </c>
      <c r="C54" s="197">
        <v>0</v>
      </c>
      <c r="D54" s="198">
        <v>0</v>
      </c>
      <c r="E54" s="197">
        <v>0</v>
      </c>
      <c r="F54" s="197">
        <f t="shared" si="14"/>
        <v>0</v>
      </c>
      <c r="G54" s="217">
        <v>0</v>
      </c>
      <c r="H54" s="19" t="s">
        <v>95</v>
      </c>
      <c r="N54" s="196" t="s">
        <v>696</v>
      </c>
      <c r="O54" s="217">
        <v>0</v>
      </c>
      <c r="P54" s="217"/>
      <c r="Q54" s="217">
        <v>0</v>
      </c>
      <c r="R54" s="199"/>
      <c r="U54" s="172"/>
    </row>
    <row r="55" spans="1:21" s="170" customFormat="1" ht="21.95" hidden="1" customHeight="1" x14ac:dyDescent="0.25">
      <c r="A55" s="485">
        <f t="shared" si="13"/>
        <v>47</v>
      </c>
      <c r="B55" s="196" t="s">
        <v>47</v>
      </c>
      <c r="C55" s="197">
        <v>150000</v>
      </c>
      <c r="D55" s="198">
        <v>250953</v>
      </c>
      <c r="E55" s="197">
        <v>150000</v>
      </c>
      <c r="F55" s="197">
        <f t="shared" si="14"/>
        <v>-100953</v>
      </c>
      <c r="G55" s="217">
        <f>'[1]64,05,510 sopr.att.fondo rischi'!P1</f>
        <v>0</v>
      </c>
      <c r="H55" s="19" t="s">
        <v>95</v>
      </c>
      <c r="N55" s="196" t="s">
        <v>47</v>
      </c>
      <c r="O55" s="217">
        <f>'[1]64,05,510 sopr.att.fondo rischi'!V1</f>
        <v>0</v>
      </c>
      <c r="P55" s="217"/>
      <c r="Q55" s="217">
        <f>'[1]64,05,510 sopr.att.fondo rischi'!W1</f>
        <v>0</v>
      </c>
      <c r="R55" s="199"/>
      <c r="U55" s="172"/>
    </row>
    <row r="56" spans="1:21" s="170" customFormat="1" ht="21.95" hidden="1" customHeight="1" x14ac:dyDescent="0.25">
      <c r="A56" s="485">
        <f t="shared" si="13"/>
        <v>48</v>
      </c>
      <c r="B56" s="196" t="s">
        <v>48</v>
      </c>
      <c r="C56" s="197">
        <v>16528.8</v>
      </c>
      <c r="D56" s="198">
        <v>18249</v>
      </c>
      <c r="E56" s="197">
        <v>35085.89</v>
      </c>
      <c r="F56" s="197">
        <f t="shared" si="14"/>
        <v>16836.89</v>
      </c>
      <c r="G56" s="217">
        <f>'[1]64,05,512 soprav.attive indeduc'!P1</f>
        <v>15000</v>
      </c>
      <c r="H56" s="19" t="s">
        <v>95</v>
      </c>
      <c r="N56" s="196" t="s">
        <v>48</v>
      </c>
      <c r="O56" s="217">
        <v>15000</v>
      </c>
      <c r="P56" s="217"/>
      <c r="Q56" s="217">
        <v>15000</v>
      </c>
      <c r="R56" s="199"/>
      <c r="U56" s="172"/>
    </row>
    <row r="57" spans="1:21" s="170" customFormat="1" ht="21.95" hidden="1" customHeight="1" x14ac:dyDescent="0.25">
      <c r="A57" s="485">
        <f t="shared" si="13"/>
        <v>49</v>
      </c>
      <c r="B57" s="196" t="s">
        <v>49</v>
      </c>
      <c r="C57" s="197">
        <v>0</v>
      </c>
      <c r="D57" s="198">
        <v>212640</v>
      </c>
      <c r="E57" s="197">
        <v>0</v>
      </c>
      <c r="F57" s="197">
        <f t="shared" si="14"/>
        <v>-212640</v>
      </c>
      <c r="G57" s="217" t="str">
        <f>'[1]6405514SOPRAV.ATT.STORN.P.F.M.'!P1</f>
        <v xml:space="preserve"> </v>
      </c>
      <c r="H57" s="19" t="s">
        <v>95</v>
      </c>
      <c r="N57" s="196" t="s">
        <v>49</v>
      </c>
      <c r="O57" s="217">
        <f>'[1]6405514SOPRAV.ATT.STORN.P.F.M.'!V1</f>
        <v>0</v>
      </c>
      <c r="P57" s="217"/>
      <c r="Q57" s="217">
        <f>'[1]6405514SOPRAV.ATT.STORN.P.F.M.'!W1</f>
        <v>0</v>
      </c>
      <c r="R57" s="199"/>
      <c r="U57" s="172"/>
    </row>
    <row r="58" spans="1:21" s="170" customFormat="1" ht="21.95" hidden="1" customHeight="1" x14ac:dyDescent="0.25">
      <c r="A58" s="485">
        <f t="shared" si="13"/>
        <v>50</v>
      </c>
      <c r="B58" s="196" t="s">
        <v>50</v>
      </c>
      <c r="C58" s="197">
        <v>14122</v>
      </c>
      <c r="D58" s="198">
        <v>2230</v>
      </c>
      <c r="E58" s="197">
        <v>0</v>
      </c>
      <c r="F58" s="197">
        <f t="shared" si="14"/>
        <v>-2230</v>
      </c>
      <c r="G58" s="217"/>
      <c r="H58" s="19" t="s">
        <v>95</v>
      </c>
      <c r="N58" s="196" t="s">
        <v>50</v>
      </c>
      <c r="O58" s="217"/>
      <c r="P58" s="217"/>
      <c r="Q58" s="217"/>
      <c r="R58" s="199"/>
      <c r="U58" s="172"/>
    </row>
    <row r="59" spans="1:21" s="170" customFormat="1" ht="21.95" hidden="1" customHeight="1" x14ac:dyDescent="0.25">
      <c r="A59" s="485">
        <f t="shared" si="13"/>
        <v>51</v>
      </c>
      <c r="B59" s="196" t="s">
        <v>51</v>
      </c>
      <c r="C59" s="197">
        <v>0</v>
      </c>
      <c r="D59" s="198">
        <v>58</v>
      </c>
      <c r="E59" s="197">
        <v>0</v>
      </c>
      <c r="F59" s="197">
        <f t="shared" si="14"/>
        <v>-58</v>
      </c>
      <c r="G59" s="217">
        <v>0</v>
      </c>
      <c r="H59" s="19" t="s">
        <v>95</v>
      </c>
      <c r="N59" s="196" t="s">
        <v>51</v>
      </c>
      <c r="O59" s="217">
        <v>0</v>
      </c>
      <c r="P59" s="217"/>
      <c r="Q59" s="217">
        <v>0</v>
      </c>
      <c r="R59" s="199"/>
      <c r="U59" s="172"/>
    </row>
    <row r="60" spans="1:21" s="170" customFormat="1" ht="21.95" hidden="1" customHeight="1" x14ac:dyDescent="0.25">
      <c r="A60" s="485">
        <f>A62+1</f>
        <v>54</v>
      </c>
      <c r="B60" s="196" t="s">
        <v>697</v>
      </c>
      <c r="C60" s="197">
        <v>0</v>
      </c>
      <c r="D60" s="198"/>
      <c r="E60" s="197">
        <v>0</v>
      </c>
      <c r="F60" s="197">
        <f t="shared" si="14"/>
        <v>0</v>
      </c>
      <c r="G60" s="217">
        <v>0</v>
      </c>
      <c r="H60" s="19" t="s">
        <v>95</v>
      </c>
      <c r="N60" s="196" t="s">
        <v>697</v>
      </c>
      <c r="O60" s="217">
        <v>0</v>
      </c>
      <c r="P60" s="217"/>
      <c r="Q60" s="217">
        <v>0</v>
      </c>
      <c r="R60" s="199"/>
      <c r="U60" s="172"/>
    </row>
    <row r="61" spans="1:21" s="170" customFormat="1" ht="21.95" hidden="1" customHeight="1" x14ac:dyDescent="0.25">
      <c r="A61" s="485">
        <f>A60+1</f>
        <v>55</v>
      </c>
      <c r="B61" s="196" t="s">
        <v>698</v>
      </c>
      <c r="C61" s="197">
        <v>7778.6</v>
      </c>
      <c r="D61" s="198"/>
      <c r="E61" s="197">
        <v>7778.6</v>
      </c>
      <c r="F61" s="197">
        <f t="shared" si="14"/>
        <v>7778.6</v>
      </c>
      <c r="G61" s="217">
        <v>7500</v>
      </c>
      <c r="H61" s="19" t="s">
        <v>95</v>
      </c>
      <c r="N61" s="196" t="s">
        <v>698</v>
      </c>
      <c r="O61" s="217">
        <v>7500</v>
      </c>
      <c r="P61" s="217"/>
      <c r="Q61" s="217">
        <v>7500</v>
      </c>
      <c r="R61" s="199"/>
      <c r="U61" s="172"/>
    </row>
    <row r="62" spans="1:21" s="170" customFormat="1" ht="21.95" hidden="1" customHeight="1" x14ac:dyDescent="0.25">
      <c r="A62" s="485">
        <f>A43+1</f>
        <v>53</v>
      </c>
      <c r="B62" s="196" t="s">
        <v>699</v>
      </c>
      <c r="C62" s="197">
        <v>620</v>
      </c>
      <c r="D62" s="198"/>
      <c r="E62" s="197">
        <v>760</v>
      </c>
      <c r="F62" s="197">
        <f t="shared" si="14"/>
        <v>760</v>
      </c>
      <c r="G62" s="217">
        <f>'[1]64,05,520 SOPRAV. ATT. FAGIOLON'!P1</f>
        <v>900</v>
      </c>
      <c r="H62" s="19" t="s">
        <v>95</v>
      </c>
      <c r="N62" s="196" t="s">
        <v>699</v>
      </c>
      <c r="O62" s="217">
        <v>900</v>
      </c>
      <c r="P62" s="217"/>
      <c r="Q62" s="217">
        <v>900</v>
      </c>
      <c r="R62" s="199"/>
      <c r="U62" s="172"/>
    </row>
    <row r="63" spans="1:21" s="170" customFormat="1" ht="21.95" hidden="1" customHeight="1" x14ac:dyDescent="0.25">
      <c r="A63" s="485"/>
      <c r="B63" s="196" t="s">
        <v>700</v>
      </c>
      <c r="C63" s="197"/>
      <c r="D63" s="198"/>
      <c r="E63" s="197">
        <v>1588.75</v>
      </c>
      <c r="F63" s="197">
        <f t="shared" si="14"/>
        <v>1588.75</v>
      </c>
      <c r="G63" s="197">
        <v>1588.75</v>
      </c>
      <c r="H63" s="19" t="s">
        <v>95</v>
      </c>
      <c r="N63" s="196" t="s">
        <v>700</v>
      </c>
      <c r="O63" s="197">
        <v>1588.75</v>
      </c>
      <c r="P63" s="197"/>
      <c r="Q63" s="197">
        <v>1588.75</v>
      </c>
      <c r="R63" s="199"/>
      <c r="U63" s="172"/>
    </row>
    <row r="64" spans="1:21" s="170" customFormat="1" ht="21.95" hidden="1" customHeight="1" x14ac:dyDescent="0.25">
      <c r="A64" s="485"/>
      <c r="B64" s="226" t="s">
        <v>701</v>
      </c>
      <c r="C64" s="218"/>
      <c r="D64" s="227"/>
      <c r="E64" s="218"/>
      <c r="F64" s="218"/>
      <c r="G64" s="228">
        <v>5000</v>
      </c>
      <c r="H64" s="19"/>
      <c r="N64" s="226" t="s">
        <v>701</v>
      </c>
      <c r="O64" s="228">
        <v>5000</v>
      </c>
      <c r="P64" s="228"/>
      <c r="Q64" s="228">
        <v>5000</v>
      </c>
      <c r="R64" s="229"/>
      <c r="U64" s="172"/>
    </row>
    <row r="65" spans="1:21" s="170" customFormat="1" ht="21.95" hidden="1" customHeight="1" x14ac:dyDescent="0.25">
      <c r="A65" s="485">
        <f>A61+1</f>
        <v>56</v>
      </c>
      <c r="B65" s="474" t="s">
        <v>52</v>
      </c>
      <c r="C65" s="475">
        <v>341.67</v>
      </c>
      <c r="D65" s="476">
        <f>SUM(D66:D69)</f>
        <v>5516</v>
      </c>
      <c r="E65" s="475">
        <f>SUM(E66:E69)</f>
        <v>3489.64</v>
      </c>
      <c r="F65" s="475">
        <f>E65-D65</f>
        <v>-2026.3600000000001</v>
      </c>
      <c r="G65" s="476">
        <f>SUM(G66:G70)</f>
        <v>3000.31</v>
      </c>
      <c r="H65" s="19" t="s">
        <v>95</v>
      </c>
      <c r="N65" s="474" t="s">
        <v>52</v>
      </c>
      <c r="O65" s="476">
        <f>SUM(O66:O70)</f>
        <v>3000</v>
      </c>
      <c r="P65" s="476"/>
      <c r="Q65" s="476">
        <f>SUM(Q66:Q70)</f>
        <v>3000</v>
      </c>
      <c r="R65" s="489"/>
      <c r="U65" s="172"/>
    </row>
    <row r="66" spans="1:21" s="170" customFormat="1" ht="21.95" hidden="1" customHeight="1" x14ac:dyDescent="0.25">
      <c r="A66" s="485">
        <f t="shared" si="1"/>
        <v>57</v>
      </c>
      <c r="B66" s="196" t="s">
        <v>53</v>
      </c>
      <c r="C66" s="197">
        <v>6.67</v>
      </c>
      <c r="D66" s="198">
        <v>3</v>
      </c>
      <c r="E66" s="197">
        <v>0.31</v>
      </c>
      <c r="F66" s="197">
        <f>E66-D66</f>
        <v>-2.69</v>
      </c>
      <c r="G66" s="217">
        <f>E66</f>
        <v>0.31</v>
      </c>
      <c r="H66" s="19" t="s">
        <v>95</v>
      </c>
      <c r="N66" s="196" t="s">
        <v>53</v>
      </c>
      <c r="O66" s="217">
        <f>K66</f>
        <v>0</v>
      </c>
      <c r="P66" s="217"/>
      <c r="Q66" s="217">
        <f>L66</f>
        <v>0</v>
      </c>
      <c r="R66" s="199"/>
      <c r="U66" s="172"/>
    </row>
    <row r="67" spans="1:21" s="170" customFormat="1" ht="21.95" hidden="1" customHeight="1" x14ac:dyDescent="0.25">
      <c r="A67" s="485">
        <f t="shared" si="1"/>
        <v>58</v>
      </c>
      <c r="B67" s="196" t="s">
        <v>702</v>
      </c>
      <c r="C67" s="197">
        <v>335</v>
      </c>
      <c r="D67" s="198">
        <v>4352</v>
      </c>
      <c r="E67" s="197">
        <v>0</v>
      </c>
      <c r="F67" s="197">
        <f t="shared" ref="F67:F69" si="15">E67-D67</f>
        <v>-4352</v>
      </c>
      <c r="G67" s="217"/>
      <c r="H67" s="19" t="s">
        <v>95</v>
      </c>
      <c r="N67" s="196" t="s">
        <v>702</v>
      </c>
      <c r="O67" s="217"/>
      <c r="P67" s="217"/>
      <c r="Q67" s="217"/>
      <c r="R67" s="199"/>
      <c r="U67" s="172"/>
    </row>
    <row r="68" spans="1:21" s="170" customFormat="1" ht="21.95" hidden="1" customHeight="1" x14ac:dyDescent="0.25">
      <c r="A68" s="485">
        <f t="shared" si="1"/>
        <v>59</v>
      </c>
      <c r="B68" s="196" t="s">
        <v>703</v>
      </c>
      <c r="C68" s="197">
        <v>0</v>
      </c>
      <c r="D68" s="198">
        <v>1161</v>
      </c>
      <c r="E68" s="197">
        <v>0</v>
      </c>
      <c r="F68" s="197">
        <f t="shared" si="15"/>
        <v>-1161</v>
      </c>
      <c r="G68" s="217">
        <v>0</v>
      </c>
      <c r="H68" s="19" t="s">
        <v>95</v>
      </c>
      <c r="N68" s="196" t="s">
        <v>703</v>
      </c>
      <c r="O68" s="217">
        <v>0</v>
      </c>
      <c r="P68" s="217"/>
      <c r="Q68" s="217">
        <v>0</v>
      </c>
      <c r="R68" s="199"/>
      <c r="U68" s="172"/>
    </row>
    <row r="69" spans="1:21" s="170" customFormat="1" ht="21.95" hidden="1" customHeight="1" x14ac:dyDescent="0.25">
      <c r="A69" s="485"/>
      <c r="B69" s="196" t="s">
        <v>704</v>
      </c>
      <c r="C69" s="197"/>
      <c r="D69" s="198"/>
      <c r="E69" s="197">
        <v>3489.33</v>
      </c>
      <c r="F69" s="197">
        <f t="shared" si="15"/>
        <v>3489.33</v>
      </c>
      <c r="G69" s="217"/>
      <c r="H69" s="19" t="s">
        <v>95</v>
      </c>
      <c r="N69" s="196" t="s">
        <v>704</v>
      </c>
      <c r="O69" s="217"/>
      <c r="P69" s="217"/>
      <c r="Q69" s="217"/>
      <c r="R69" s="199"/>
      <c r="U69" s="172"/>
    </row>
    <row r="70" spans="1:21" s="170" customFormat="1" ht="21.95" hidden="1" customHeight="1" x14ac:dyDescent="0.25">
      <c r="A70" s="485"/>
      <c r="B70" s="226" t="s">
        <v>705</v>
      </c>
      <c r="C70" s="218"/>
      <c r="D70" s="227"/>
      <c r="E70" s="218"/>
      <c r="F70" s="218"/>
      <c r="G70" s="228">
        <v>3000</v>
      </c>
      <c r="H70" s="19"/>
      <c r="N70" s="226" t="s">
        <v>705</v>
      </c>
      <c r="O70" s="228">
        <v>3000</v>
      </c>
      <c r="P70" s="228"/>
      <c r="Q70" s="228">
        <v>3000</v>
      </c>
      <c r="R70" s="229"/>
      <c r="U70" s="172"/>
    </row>
    <row r="71" spans="1:21" s="170" customFormat="1" ht="21.95" hidden="1" customHeight="1" x14ac:dyDescent="0.25">
      <c r="A71" s="485"/>
      <c r="B71" s="478" t="s">
        <v>706</v>
      </c>
      <c r="C71" s="479"/>
      <c r="D71" s="480"/>
      <c r="E71" s="479"/>
      <c r="F71" s="479"/>
      <c r="G71" s="479"/>
      <c r="H71" s="19" t="s">
        <v>95</v>
      </c>
      <c r="N71" s="478" t="s">
        <v>706</v>
      </c>
      <c r="O71" s="479"/>
      <c r="P71" s="479"/>
      <c r="Q71" s="479"/>
      <c r="R71" s="481"/>
      <c r="U71" s="172"/>
    </row>
    <row r="72" spans="1:21" s="458" customFormat="1" ht="21.95" hidden="1" customHeight="1" x14ac:dyDescent="0.25">
      <c r="A72" s="268">
        <f>A68+1</f>
        <v>60</v>
      </c>
      <c r="B72" s="20"/>
      <c r="C72" s="32"/>
      <c r="D72" s="232"/>
      <c r="E72" s="32"/>
      <c r="F72" s="32"/>
      <c r="G72" s="32"/>
      <c r="H72" s="19" t="s">
        <v>95</v>
      </c>
      <c r="N72" s="20"/>
      <c r="O72" s="32"/>
      <c r="P72" s="32"/>
      <c r="Q72" s="32"/>
      <c r="R72" s="107"/>
      <c r="U72" s="459"/>
    </row>
    <row r="73" spans="1:21" s="458" customFormat="1" ht="21.95" hidden="1" customHeight="1" x14ac:dyDescent="0.25">
      <c r="A73" s="268">
        <f t="shared" ref="A73:A86" si="16">A72+1</f>
        <v>61</v>
      </c>
      <c r="B73" s="8" t="s">
        <v>54</v>
      </c>
      <c r="C73" s="7">
        <v>472881.23</v>
      </c>
      <c r="D73" s="162">
        <f>D40</f>
        <v>552590</v>
      </c>
      <c r="E73" s="7">
        <f>E40</f>
        <v>570263.77999999991</v>
      </c>
      <c r="F73" s="7">
        <f>E73-D73</f>
        <v>17673.779999999912</v>
      </c>
      <c r="G73" s="7">
        <f>G40</f>
        <v>126838.04999999999</v>
      </c>
      <c r="H73" s="19" t="s">
        <v>95</v>
      </c>
      <c r="N73" s="8" t="s">
        <v>54</v>
      </c>
      <c r="O73" s="7">
        <f>O40</f>
        <v>250668.31999999998</v>
      </c>
      <c r="P73" s="7"/>
      <c r="Q73" s="7">
        <f>Q40</f>
        <v>126834.15999999999</v>
      </c>
      <c r="R73" s="163"/>
      <c r="U73" s="459"/>
    </row>
    <row r="74" spans="1:21" s="458" customFormat="1" ht="21.95" hidden="1" customHeight="1" x14ac:dyDescent="0.25">
      <c r="A74" s="268">
        <f t="shared" si="16"/>
        <v>62</v>
      </c>
      <c r="B74" s="5"/>
      <c r="C74" s="7"/>
      <c r="D74" s="162"/>
      <c r="E74" s="7"/>
      <c r="F74" s="7"/>
      <c r="G74" s="7"/>
      <c r="H74" s="19" t="s">
        <v>95</v>
      </c>
      <c r="N74" s="5"/>
      <c r="O74" s="7"/>
      <c r="P74" s="7"/>
      <c r="Q74" s="7"/>
      <c r="R74" s="163"/>
      <c r="U74" s="459"/>
    </row>
    <row r="75" spans="1:21" s="458" customFormat="1" ht="21.95" hidden="1" customHeight="1" x14ac:dyDescent="0.25">
      <c r="A75" s="268">
        <f t="shared" si="16"/>
        <v>63</v>
      </c>
      <c r="B75" s="15" t="s">
        <v>55</v>
      </c>
      <c r="C75" s="490">
        <v>7678709.0299999993</v>
      </c>
      <c r="D75" s="491">
        <f>D40+D3</f>
        <v>5648342</v>
      </c>
      <c r="E75" s="490">
        <f>E40+E3</f>
        <v>7550246.0900000008</v>
      </c>
      <c r="F75" s="490">
        <f>E75-D75</f>
        <v>1901904.0900000008</v>
      </c>
      <c r="G75" s="490">
        <f>G40+G3</f>
        <v>8690592.6132876724</v>
      </c>
      <c r="H75" s="19" t="s">
        <v>95</v>
      </c>
      <c r="N75" s="15" t="s">
        <v>55</v>
      </c>
      <c r="O75" s="490">
        <f>O40+O3</f>
        <v>9637168.3200000003</v>
      </c>
      <c r="P75" s="490"/>
      <c r="Q75" s="490">
        <f>Q40+Q3</f>
        <v>11113334.16</v>
      </c>
      <c r="R75" s="492"/>
      <c r="U75" s="459"/>
    </row>
    <row r="76" spans="1:21" s="458" customFormat="1" ht="21.95" customHeight="1" x14ac:dyDescent="0.25">
      <c r="A76" s="268">
        <f t="shared" si="16"/>
        <v>64</v>
      </c>
      <c r="B76" s="5"/>
      <c r="C76" s="7"/>
      <c r="D76" s="162"/>
      <c r="E76" s="7"/>
      <c r="F76" s="7"/>
      <c r="G76" s="7"/>
      <c r="H76" s="19" t="s">
        <v>95</v>
      </c>
      <c r="N76" s="5"/>
      <c r="O76" s="38"/>
      <c r="P76" s="38"/>
      <c r="Q76" s="7"/>
      <c r="R76" s="163"/>
      <c r="U76" s="459"/>
    </row>
    <row r="77" spans="1:21" s="458" customFormat="1" ht="21.95" customHeight="1" x14ac:dyDescent="0.25">
      <c r="A77" s="268">
        <f t="shared" si="16"/>
        <v>65</v>
      </c>
      <c r="B77" s="457" t="s">
        <v>56</v>
      </c>
      <c r="C77" s="7"/>
      <c r="D77" s="162"/>
      <c r="E77" s="7"/>
      <c r="F77" s="7"/>
      <c r="G77" s="7"/>
      <c r="H77" s="19" t="s">
        <v>95</v>
      </c>
      <c r="N77" s="457" t="s">
        <v>56</v>
      </c>
      <c r="O77" s="38"/>
      <c r="P77" s="38"/>
      <c r="Q77" s="7"/>
      <c r="R77" s="163"/>
      <c r="U77" s="459"/>
    </row>
    <row r="78" spans="1:21" s="458" customFormat="1" ht="21.95" customHeight="1" x14ac:dyDescent="0.25">
      <c r="A78" s="268" t="e">
        <f>#REF!+1</f>
        <v>#REF!</v>
      </c>
      <c r="B78" s="53" t="s">
        <v>59</v>
      </c>
      <c r="C78" s="52">
        <v>3057</v>
      </c>
      <c r="D78" s="239">
        <v>2282</v>
      </c>
      <c r="E78" s="52">
        <v>3443.46</v>
      </c>
      <c r="F78" s="52">
        <f>E78-D78</f>
        <v>1161.46</v>
      </c>
      <c r="G78" s="52">
        <f t="shared" ref="G78:G83" si="17">E78</f>
        <v>3443.46</v>
      </c>
      <c r="H78" s="19" t="s">
        <v>95</v>
      </c>
      <c r="N78" s="53" t="s">
        <v>59</v>
      </c>
      <c r="O78" s="32">
        <v>3443.46</v>
      </c>
      <c r="P78" s="32"/>
      <c r="Q78" s="52">
        <v>3443.46</v>
      </c>
      <c r="R78" s="240"/>
      <c r="S78" s="458" t="s">
        <v>707</v>
      </c>
      <c r="U78" s="459"/>
    </row>
    <row r="79" spans="1:21" s="458" customFormat="1" ht="21.95" customHeight="1" x14ac:dyDescent="0.25">
      <c r="A79" s="268" t="e">
        <f t="shared" si="16"/>
        <v>#REF!</v>
      </c>
      <c r="B79" s="53" t="s">
        <v>60</v>
      </c>
      <c r="C79" s="52">
        <v>4655</v>
      </c>
      <c r="D79" s="239">
        <v>4089</v>
      </c>
      <c r="E79" s="52">
        <v>6882.84</v>
      </c>
      <c r="F79" s="52">
        <f t="shared" ref="F79:F83" si="18">E79-D79</f>
        <v>2793.84</v>
      </c>
      <c r="G79" s="52">
        <f t="shared" si="17"/>
        <v>6882.84</v>
      </c>
      <c r="H79" s="19" t="s">
        <v>95</v>
      </c>
      <c r="N79" s="53" t="s">
        <v>60</v>
      </c>
      <c r="O79" s="32">
        <v>6882.84</v>
      </c>
      <c r="P79" s="32"/>
      <c r="Q79" s="52">
        <v>6882.84</v>
      </c>
      <c r="R79" s="240"/>
      <c r="U79" s="459"/>
    </row>
    <row r="80" spans="1:21" s="458" customFormat="1" ht="21.95" customHeight="1" x14ac:dyDescent="0.25">
      <c r="A80" s="268" t="e">
        <f t="shared" si="16"/>
        <v>#REF!</v>
      </c>
      <c r="B80" s="53" t="s">
        <v>61</v>
      </c>
      <c r="C80" s="52">
        <v>757</v>
      </c>
      <c r="D80" s="239">
        <v>1270</v>
      </c>
      <c r="E80" s="52">
        <v>1081.93</v>
      </c>
      <c r="F80" s="52">
        <f t="shared" si="18"/>
        <v>-188.06999999999994</v>
      </c>
      <c r="G80" s="52">
        <f t="shared" si="17"/>
        <v>1081.93</v>
      </c>
      <c r="H80" s="19" t="s">
        <v>95</v>
      </c>
      <c r="N80" s="53" t="s">
        <v>61</v>
      </c>
      <c r="O80" s="32">
        <v>1081.93</v>
      </c>
      <c r="P80" s="32"/>
      <c r="Q80" s="52">
        <v>1081.93</v>
      </c>
      <c r="R80" s="240"/>
      <c r="S80" s="458" t="s">
        <v>708</v>
      </c>
      <c r="U80" s="459"/>
    </row>
    <row r="81" spans="1:22" s="458" customFormat="1" ht="21.95" customHeight="1" x14ac:dyDescent="0.25">
      <c r="A81" s="268" t="e">
        <f t="shared" si="16"/>
        <v>#REF!</v>
      </c>
      <c r="B81" s="53" t="s">
        <v>62</v>
      </c>
      <c r="C81" s="52">
        <v>10969.34</v>
      </c>
      <c r="D81" s="239">
        <v>15476</v>
      </c>
      <c r="E81" s="52">
        <v>7512</v>
      </c>
      <c r="F81" s="52">
        <f t="shared" si="18"/>
        <v>-7964</v>
      </c>
      <c r="G81" s="52">
        <f t="shared" si="17"/>
        <v>7512</v>
      </c>
      <c r="H81" s="19" t="s">
        <v>95</v>
      </c>
      <c r="N81" s="53" t="s">
        <v>62</v>
      </c>
      <c r="O81" s="32">
        <v>7512</v>
      </c>
      <c r="P81" s="32"/>
      <c r="Q81" s="52">
        <v>7512</v>
      </c>
      <c r="R81" s="240"/>
      <c r="U81" s="459"/>
    </row>
    <row r="82" spans="1:22" s="458" customFormat="1" ht="21.95" customHeight="1" x14ac:dyDescent="0.25">
      <c r="A82" s="268" t="e">
        <f t="shared" si="16"/>
        <v>#REF!</v>
      </c>
      <c r="B82" s="53" t="s">
        <v>63</v>
      </c>
      <c r="C82" s="52">
        <v>1930</v>
      </c>
      <c r="D82" s="239">
        <v>11956</v>
      </c>
      <c r="E82" s="52">
        <v>2030.02</v>
      </c>
      <c r="F82" s="52">
        <f t="shared" si="18"/>
        <v>-9925.98</v>
      </c>
      <c r="G82" s="52">
        <f t="shared" si="17"/>
        <v>2030.02</v>
      </c>
      <c r="H82" s="19" t="s">
        <v>95</v>
      </c>
      <c r="N82" s="53" t="s">
        <v>63</v>
      </c>
      <c r="O82" s="32">
        <v>2030.02</v>
      </c>
      <c r="P82" s="32"/>
      <c r="Q82" s="52">
        <v>2030.02</v>
      </c>
      <c r="R82" s="240"/>
      <c r="U82" s="459"/>
    </row>
    <row r="83" spans="1:22" s="458" customFormat="1" ht="21.95" customHeight="1" x14ac:dyDescent="0.25">
      <c r="A83" s="268" t="e">
        <f t="shared" si="16"/>
        <v>#REF!</v>
      </c>
      <c r="B83" s="20" t="s">
        <v>64</v>
      </c>
      <c r="C83" s="32">
        <v>3455</v>
      </c>
      <c r="D83" s="232">
        <v>4516</v>
      </c>
      <c r="E83" s="32">
        <v>3638.85</v>
      </c>
      <c r="F83" s="52">
        <f t="shared" si="18"/>
        <v>-877.15000000000009</v>
      </c>
      <c r="G83" s="32">
        <f t="shared" si="17"/>
        <v>3638.85</v>
      </c>
      <c r="H83" s="19" t="s">
        <v>95</v>
      </c>
      <c r="L83" s="241"/>
      <c r="M83" s="241"/>
      <c r="N83" s="20" t="s">
        <v>64</v>
      </c>
      <c r="O83" s="32">
        <v>3638.85</v>
      </c>
      <c r="P83" s="32"/>
      <c r="Q83" s="32">
        <v>3638.85</v>
      </c>
      <c r="R83" s="107"/>
      <c r="S83" s="458" t="s">
        <v>709</v>
      </c>
      <c r="U83" s="459"/>
    </row>
    <row r="84" spans="1:22" s="458" customFormat="1" ht="21.95" customHeight="1" x14ac:dyDescent="0.25">
      <c r="A84" s="268"/>
      <c r="B84" s="51"/>
      <c r="C84" s="106"/>
      <c r="D84" s="248"/>
      <c r="E84" s="106"/>
      <c r="F84" s="106"/>
      <c r="G84" s="106"/>
      <c r="H84" s="19"/>
      <c r="N84" s="51"/>
      <c r="O84" s="23"/>
      <c r="P84" s="23"/>
      <c r="Q84" s="106"/>
      <c r="R84" s="249"/>
      <c r="U84" s="459"/>
    </row>
    <row r="85" spans="1:22" s="458" customFormat="1" ht="34.5" customHeight="1" x14ac:dyDescent="0.25">
      <c r="A85" s="268" t="e">
        <f>#REF!+1</f>
        <v>#REF!</v>
      </c>
      <c r="B85" s="53" t="s">
        <v>70</v>
      </c>
      <c r="C85" s="52">
        <v>256527</v>
      </c>
      <c r="D85" s="239">
        <v>292599</v>
      </c>
      <c r="E85" s="52">
        <v>252725.78</v>
      </c>
      <c r="F85" s="52">
        <f>E85-D85</f>
        <v>-39873.22</v>
      </c>
      <c r="G85" s="52">
        <f>E85+252726*30%</f>
        <v>328543.58</v>
      </c>
      <c r="H85" s="43" t="s">
        <v>95</v>
      </c>
      <c r="I85" s="497"/>
      <c r="J85" s="497"/>
      <c r="K85" s="497"/>
      <c r="L85" s="497"/>
      <c r="M85" s="497"/>
      <c r="N85" s="53" t="s">
        <v>70</v>
      </c>
      <c r="O85" s="32">
        <f>G85</f>
        <v>328543.58</v>
      </c>
      <c r="P85" s="32"/>
      <c r="Q85" s="52">
        <f>G85</f>
        <v>328543.58</v>
      </c>
      <c r="R85" s="253"/>
      <c r="S85" s="458" t="s">
        <v>713</v>
      </c>
      <c r="U85" s="495">
        <v>280000</v>
      </c>
    </row>
    <row r="86" spans="1:22" s="458" customFormat="1" ht="34.5" customHeight="1" x14ac:dyDescent="0.25">
      <c r="A86" s="268" t="e">
        <f t="shared" si="16"/>
        <v>#REF!</v>
      </c>
      <c r="B86" s="556" t="s">
        <v>714</v>
      </c>
      <c r="C86" s="552">
        <v>19490</v>
      </c>
      <c r="D86" s="553">
        <v>23724</v>
      </c>
      <c r="E86" s="552">
        <v>19143.490000000002</v>
      </c>
      <c r="F86" s="552">
        <f t="shared" ref="F86:F90" si="19">E86-D86</f>
        <v>-4580.5099999999984</v>
      </c>
      <c r="G86" s="557">
        <f>21000+'[1]terrecablate 2021 sp.telef.'!J73</f>
        <v>23374.43</v>
      </c>
      <c r="H86" s="257" t="s">
        <v>95</v>
      </c>
      <c r="I86" s="257"/>
      <c r="J86" s="257"/>
      <c r="K86" s="257"/>
      <c r="L86" s="257"/>
      <c r="M86" s="257"/>
      <c r="N86" s="556" t="s">
        <v>714</v>
      </c>
      <c r="O86" s="557">
        <f t="shared" ref="O86:O89" si="20">G86</f>
        <v>23374.43</v>
      </c>
      <c r="P86" s="604"/>
      <c r="Q86" s="256">
        <f t="shared" ref="Q86:Q89" si="21">G86</f>
        <v>23374.43</v>
      </c>
      <c r="R86" s="240"/>
      <c r="S86" s="458" t="s">
        <v>715</v>
      </c>
      <c r="T86" s="496">
        <v>45291</v>
      </c>
      <c r="U86" s="495">
        <v>20000</v>
      </c>
    </row>
    <row r="87" spans="1:22" s="458" customFormat="1" ht="21.95" customHeight="1" x14ac:dyDescent="0.25">
      <c r="A87" s="268" t="e">
        <f>A86+1</f>
        <v>#REF!</v>
      </c>
      <c r="B87" s="551" t="s">
        <v>71</v>
      </c>
      <c r="C87" s="552">
        <v>728</v>
      </c>
      <c r="D87" s="553">
        <v>576</v>
      </c>
      <c r="E87" s="552">
        <v>670.36</v>
      </c>
      <c r="F87" s="552">
        <f t="shared" si="19"/>
        <v>94.360000000000014</v>
      </c>
      <c r="G87" s="552">
        <f>E87</f>
        <v>670.36</v>
      </c>
      <c r="H87" s="43" t="s">
        <v>95</v>
      </c>
      <c r="I87" s="497"/>
      <c r="J87" s="497"/>
      <c r="K87" s="497"/>
      <c r="L87" s="497"/>
      <c r="M87" s="558">
        <f>SUM(G86:G87)</f>
        <v>24044.79</v>
      </c>
      <c r="N87" s="551" t="s">
        <v>71</v>
      </c>
      <c r="O87" s="552">
        <f t="shared" si="20"/>
        <v>670.36</v>
      </c>
      <c r="P87" s="558">
        <f>SUM(O86:O87)</f>
        <v>24044.79</v>
      </c>
      <c r="Q87" s="52">
        <f t="shared" si="21"/>
        <v>670.36</v>
      </c>
      <c r="R87" s="240"/>
      <c r="S87" s="458" t="s">
        <v>716</v>
      </c>
      <c r="U87" s="495">
        <v>670.36</v>
      </c>
    </row>
    <row r="88" spans="1:22" s="458" customFormat="1" ht="21.95" customHeight="1" x14ac:dyDescent="0.25">
      <c r="A88" s="268"/>
      <c r="B88" s="53"/>
      <c r="C88" s="52"/>
      <c r="D88" s="239"/>
      <c r="E88" s="52"/>
      <c r="F88" s="52"/>
      <c r="G88" s="52"/>
      <c r="H88" s="43"/>
      <c r="I88" s="497"/>
      <c r="J88" s="497"/>
      <c r="K88" s="497"/>
      <c r="L88" s="497"/>
      <c r="M88" s="542"/>
      <c r="N88" s="53"/>
      <c r="O88" s="32"/>
      <c r="P88" s="32"/>
      <c r="Q88" s="52"/>
      <c r="R88" s="240"/>
      <c r="U88" s="495"/>
    </row>
    <row r="89" spans="1:22" s="458" customFormat="1" ht="21.95" customHeight="1" x14ac:dyDescent="0.25">
      <c r="A89" s="268" t="e">
        <f>A87+1</f>
        <v>#REF!</v>
      </c>
      <c r="B89" s="53" t="s">
        <v>72</v>
      </c>
      <c r="C89" s="52">
        <v>7943</v>
      </c>
      <c r="D89" s="239">
        <v>7200</v>
      </c>
      <c r="E89" s="52">
        <v>7137.41</v>
      </c>
      <c r="F89" s="52">
        <f t="shared" si="19"/>
        <v>-62.590000000000146</v>
      </c>
      <c r="G89" s="52">
        <f>E89+7137*30%</f>
        <v>9278.51</v>
      </c>
      <c r="H89" s="43" t="s">
        <v>95</v>
      </c>
      <c r="I89" s="497"/>
      <c r="J89" s="497"/>
      <c r="K89" s="497"/>
      <c r="L89" s="497"/>
      <c r="M89" s="497"/>
      <c r="N89" s="53" t="s">
        <v>72</v>
      </c>
      <c r="O89" s="32">
        <f t="shared" si="20"/>
        <v>9278.51</v>
      </c>
      <c r="P89" s="32"/>
      <c r="Q89" s="52">
        <f t="shared" si="21"/>
        <v>9278.51</v>
      </c>
      <c r="R89" s="253"/>
      <c r="S89" s="458" t="s">
        <v>717</v>
      </c>
      <c r="T89" s="496">
        <v>44561</v>
      </c>
      <c r="U89" s="495">
        <v>8000</v>
      </c>
    </row>
    <row r="90" spans="1:22" s="458" customFormat="1" ht="21.95" customHeight="1" x14ac:dyDescent="0.25">
      <c r="A90" s="268" t="e">
        <f>A89+1</f>
        <v>#REF!</v>
      </c>
      <c r="B90" s="53" t="s">
        <v>73</v>
      </c>
      <c r="C90" s="52">
        <v>20553</v>
      </c>
      <c r="D90" s="239">
        <v>12471</v>
      </c>
      <c r="E90" s="52">
        <v>23464.16</v>
      </c>
      <c r="F90" s="52">
        <f t="shared" si="19"/>
        <v>10993.16</v>
      </c>
      <c r="G90" s="52">
        <f>E90</f>
        <v>23464.16</v>
      </c>
      <c r="H90" s="19" t="s">
        <v>95</v>
      </c>
      <c r="N90" s="53" t="s">
        <v>73</v>
      </c>
      <c r="O90" s="32">
        <f>G90</f>
        <v>23464.16</v>
      </c>
      <c r="P90" s="32"/>
      <c r="Q90" s="52">
        <f>O90</f>
        <v>23464.16</v>
      </c>
      <c r="R90" s="240"/>
      <c r="S90" s="458" t="s">
        <v>718</v>
      </c>
      <c r="U90" s="495">
        <v>24000</v>
      </c>
    </row>
    <row r="91" spans="1:22" s="458" customFormat="1" ht="21.95" customHeight="1" x14ac:dyDescent="0.25">
      <c r="A91" s="268"/>
      <c r="B91" s="53"/>
      <c r="C91" s="52"/>
      <c r="D91" s="239"/>
      <c r="E91" s="52"/>
      <c r="F91" s="52"/>
      <c r="G91" s="52"/>
      <c r="H91" s="19"/>
      <c r="N91" s="53"/>
      <c r="O91" s="32"/>
      <c r="P91" s="32"/>
      <c r="Q91" s="52"/>
      <c r="R91" s="240"/>
      <c r="U91" s="495"/>
    </row>
    <row r="92" spans="1:22" s="458" customFormat="1" ht="21.95" customHeight="1" x14ac:dyDescent="0.25">
      <c r="A92" s="268" t="e">
        <f>#REF!+1</f>
        <v>#REF!</v>
      </c>
      <c r="B92" s="541" t="s">
        <v>76</v>
      </c>
      <c r="C92" s="552">
        <v>0</v>
      </c>
      <c r="D92" s="553">
        <v>15259</v>
      </c>
      <c r="E92" s="552">
        <v>0</v>
      </c>
      <c r="F92" s="552">
        <f>E92-D92</f>
        <v>-15259</v>
      </c>
      <c r="G92" s="552">
        <f>'[1]68,05,529 spese serv.cau e parc'!P1</f>
        <v>0</v>
      </c>
      <c r="H92" s="19" t="s">
        <v>95</v>
      </c>
      <c r="I92" s="501"/>
      <c r="J92" s="501"/>
      <c r="K92" s="501"/>
      <c r="L92" s="501"/>
      <c r="M92" s="524"/>
      <c r="N92" s="541" t="s">
        <v>76</v>
      </c>
      <c r="O92" s="552">
        <v>0</v>
      </c>
      <c r="P92" s="32"/>
      <c r="Q92" s="52">
        <v>0</v>
      </c>
      <c r="R92" s="240"/>
      <c r="U92" s="459"/>
    </row>
    <row r="93" spans="1:22" s="458" customFormat="1" ht="21.95" customHeight="1" x14ac:dyDescent="0.25">
      <c r="A93" s="268" t="e">
        <f t="shared" ref="A93:A114" si="22">A92+1</f>
        <v>#REF!</v>
      </c>
      <c r="B93" s="541" t="s">
        <v>77</v>
      </c>
      <c r="C93" s="552">
        <v>366470</v>
      </c>
      <c r="D93" s="553">
        <v>354534</v>
      </c>
      <c r="E93" s="552">
        <v>375870.32</v>
      </c>
      <c r="F93" s="552">
        <f t="shared" ref="F93:F97" si="23">E93-D93</f>
        <v>21336.320000000007</v>
      </c>
      <c r="G93" s="552">
        <f>E93</f>
        <v>375870.32</v>
      </c>
      <c r="H93" s="19" t="s">
        <v>95</v>
      </c>
      <c r="I93" s="501" t="s">
        <v>721</v>
      </c>
      <c r="J93" s="501" t="s">
        <v>722</v>
      </c>
      <c r="K93" s="501"/>
      <c r="L93" s="270"/>
      <c r="M93" s="525"/>
      <c r="N93" s="541" t="s">
        <v>77</v>
      </c>
      <c r="O93" s="552">
        <v>375870.32</v>
      </c>
      <c r="P93" s="32"/>
      <c r="Q93" s="52">
        <v>375870.32</v>
      </c>
      <c r="R93" s="240"/>
      <c r="S93" s="458" t="s">
        <v>723</v>
      </c>
      <c r="T93" s="496">
        <v>44561</v>
      </c>
      <c r="U93" s="502">
        <v>780000</v>
      </c>
      <c r="V93" s="19" t="s">
        <v>724</v>
      </c>
    </row>
    <row r="94" spans="1:22" s="458" customFormat="1" ht="21.95" customHeight="1" x14ac:dyDescent="0.25">
      <c r="A94" s="268" t="e">
        <f t="shared" si="22"/>
        <v>#REF!</v>
      </c>
      <c r="B94" s="541" t="s">
        <v>78</v>
      </c>
      <c r="C94" s="552">
        <v>0</v>
      </c>
      <c r="D94" s="553">
        <v>7390</v>
      </c>
      <c r="E94" s="552">
        <v>0</v>
      </c>
      <c r="F94" s="552">
        <f t="shared" si="23"/>
        <v>-7390</v>
      </c>
      <c r="G94" s="552">
        <f>'[1]68,05,532 pres,stazione'!P1</f>
        <v>0</v>
      </c>
      <c r="H94" s="19" t="s">
        <v>95</v>
      </c>
      <c r="I94" s="501"/>
      <c r="J94" s="501"/>
      <c r="K94" s="501"/>
      <c r="L94" s="501"/>
      <c r="M94" s="524"/>
      <c r="N94" s="541" t="s">
        <v>78</v>
      </c>
      <c r="O94" s="552">
        <v>0</v>
      </c>
      <c r="P94" s="32"/>
      <c r="Q94" s="52">
        <v>0</v>
      </c>
      <c r="R94" s="240"/>
      <c r="U94" s="459"/>
    </row>
    <row r="95" spans="1:22" s="458" customFormat="1" ht="21.95" customHeight="1" x14ac:dyDescent="0.25">
      <c r="A95" s="268" t="e">
        <f t="shared" si="22"/>
        <v>#REF!</v>
      </c>
      <c r="B95" s="541" t="s">
        <v>79</v>
      </c>
      <c r="C95" s="552">
        <v>138611</v>
      </c>
      <c r="D95" s="553">
        <v>154811</v>
      </c>
      <c r="E95" s="552">
        <v>138548.59</v>
      </c>
      <c r="F95" s="552">
        <f t="shared" si="23"/>
        <v>-16262.410000000003</v>
      </c>
      <c r="G95" s="552">
        <f>E95</f>
        <v>138548.59</v>
      </c>
      <c r="H95" s="19" t="s">
        <v>95</v>
      </c>
      <c r="I95" s="501" t="s">
        <v>725</v>
      </c>
      <c r="J95" s="501" t="s">
        <v>726</v>
      </c>
      <c r="K95" s="501"/>
      <c r="L95" s="501"/>
      <c r="M95" s="524"/>
      <c r="N95" s="541" t="s">
        <v>79</v>
      </c>
      <c r="O95" s="552">
        <v>138548.59</v>
      </c>
      <c r="P95" s="32"/>
      <c r="Q95" s="52">
        <v>138548.59</v>
      </c>
      <c r="R95" s="240"/>
      <c r="S95" s="458" t="s">
        <v>723</v>
      </c>
      <c r="T95" s="496">
        <v>44561</v>
      </c>
      <c r="U95" s="502">
        <f>(11940+103)*12</f>
        <v>144516</v>
      </c>
      <c r="V95" s="19" t="s">
        <v>727</v>
      </c>
    </row>
    <row r="96" spans="1:22" s="458" customFormat="1" ht="21.95" customHeight="1" x14ac:dyDescent="0.25">
      <c r="A96" s="268" t="e">
        <f t="shared" si="22"/>
        <v>#REF!</v>
      </c>
      <c r="B96" s="541" t="s">
        <v>80</v>
      </c>
      <c r="C96" s="552">
        <v>3916</v>
      </c>
      <c r="D96" s="553">
        <v>3491</v>
      </c>
      <c r="E96" s="552">
        <v>3601.14</v>
      </c>
      <c r="F96" s="552">
        <f t="shared" si="23"/>
        <v>110.13999999999987</v>
      </c>
      <c r="G96" s="552">
        <f>E96+1000</f>
        <v>4601.1399999999994</v>
      </c>
      <c r="H96" s="458" t="s">
        <v>728</v>
      </c>
      <c r="I96" s="501"/>
      <c r="J96" s="501"/>
      <c r="K96" s="501"/>
      <c r="L96" s="501"/>
      <c r="M96" s="524"/>
      <c r="N96" s="541" t="s">
        <v>80</v>
      </c>
      <c r="O96" s="552">
        <v>4601.1399999999994</v>
      </c>
      <c r="P96" s="32"/>
      <c r="Q96" s="52">
        <v>4601.1399999999994</v>
      </c>
      <c r="R96" s="240"/>
      <c r="S96" s="458" t="s">
        <v>729</v>
      </c>
      <c r="T96" s="458" t="s">
        <v>730</v>
      </c>
      <c r="U96" s="459">
        <v>3800</v>
      </c>
    </row>
    <row r="97" spans="1:22" s="458" customFormat="1" ht="21.95" customHeight="1" x14ac:dyDescent="0.25">
      <c r="A97" s="268" t="e">
        <f t="shared" si="22"/>
        <v>#REF!</v>
      </c>
      <c r="B97" s="541" t="s">
        <v>81</v>
      </c>
      <c r="C97" s="552">
        <v>67287.95</v>
      </c>
      <c r="D97" s="553">
        <v>74576</v>
      </c>
      <c r="E97" s="552">
        <v>67287.95</v>
      </c>
      <c r="F97" s="552">
        <f t="shared" si="23"/>
        <v>-7288.0500000000029</v>
      </c>
      <c r="G97" s="552">
        <v>15000</v>
      </c>
      <c r="H97" s="497" t="s">
        <v>731</v>
      </c>
      <c r="I97" s="503" t="s">
        <v>732</v>
      </c>
      <c r="J97" s="503" t="s">
        <v>733</v>
      </c>
      <c r="K97" s="503"/>
      <c r="L97" s="503"/>
      <c r="M97" s="526"/>
      <c r="N97" s="541" t="s">
        <v>81</v>
      </c>
      <c r="O97" s="552">
        <v>15000</v>
      </c>
      <c r="P97" s="32"/>
      <c r="Q97" s="52">
        <v>15000</v>
      </c>
      <c r="R97" s="253"/>
      <c r="S97" s="19"/>
      <c r="U97" s="502"/>
      <c r="V97" s="19" t="s">
        <v>727</v>
      </c>
    </row>
    <row r="98" spans="1:22" s="458" customFormat="1" ht="21.95" customHeight="1" x14ac:dyDescent="0.25">
      <c r="A98" s="268" t="e">
        <f t="shared" si="22"/>
        <v>#REF!</v>
      </c>
      <c r="B98" s="561"/>
      <c r="C98" s="106">
        <v>576284.94999999995</v>
      </c>
      <c r="D98" s="248">
        <f>SUM(D92:D97)</f>
        <v>610061</v>
      </c>
      <c r="E98" s="106">
        <f>SUM(E92:E97)</f>
        <v>585308</v>
      </c>
      <c r="F98" s="106">
        <f>E98-D98</f>
        <v>-24753</v>
      </c>
      <c r="G98" s="105"/>
      <c r="H98" s="353" t="s">
        <v>95</v>
      </c>
      <c r="I98" s="531"/>
      <c r="J98" s="531"/>
      <c r="K98" s="531"/>
      <c r="L98" s="531"/>
      <c r="M98" s="566">
        <f>SUM(G92:G97)</f>
        <v>534020.05000000005</v>
      </c>
      <c r="N98" s="561"/>
      <c r="O98" s="23"/>
      <c r="P98" s="610">
        <f>SUM(O92:O97)</f>
        <v>534020.05000000005</v>
      </c>
      <c r="Q98" s="499">
        <f>SUM(Q92:Q97)</f>
        <v>534020.05000000005</v>
      </c>
      <c r="R98" s="425"/>
      <c r="U98" s="459"/>
    </row>
    <row r="99" spans="1:22" s="458" customFormat="1" ht="21.95" customHeight="1" x14ac:dyDescent="0.25">
      <c r="A99" s="268" t="e">
        <f t="shared" si="22"/>
        <v>#REF!</v>
      </c>
      <c r="B99" s="541" t="s">
        <v>83</v>
      </c>
      <c r="C99" s="552">
        <v>13489</v>
      </c>
      <c r="D99" s="553">
        <v>12970</v>
      </c>
      <c r="E99" s="552">
        <v>13295.51</v>
      </c>
      <c r="F99" s="552">
        <f>E99-D99</f>
        <v>325.51000000000022</v>
      </c>
      <c r="G99" s="552">
        <f>E99+100</f>
        <v>13395.51</v>
      </c>
      <c r="H99" s="19" t="s">
        <v>95</v>
      </c>
      <c r="I99" s="501" t="s">
        <v>734</v>
      </c>
      <c r="J99" s="501" t="s">
        <v>735</v>
      </c>
      <c r="K99" s="501"/>
      <c r="L99" s="501"/>
      <c r="M99" s="524"/>
      <c r="N99" s="541" t="s">
        <v>83</v>
      </c>
      <c r="O99" s="552">
        <f>G99</f>
        <v>13395.51</v>
      </c>
      <c r="P99" s="32"/>
      <c r="Q99" s="52">
        <f>O99</f>
        <v>13395.51</v>
      </c>
      <c r="R99" s="240"/>
      <c r="U99" s="459"/>
    </row>
    <row r="100" spans="1:22" s="458" customFormat="1" ht="21.95" customHeight="1" x14ac:dyDescent="0.25">
      <c r="A100" s="268" t="e">
        <f>A101+1</f>
        <v>#REF!</v>
      </c>
      <c r="B100" s="541" t="s">
        <v>85</v>
      </c>
      <c r="C100" s="552">
        <v>640</v>
      </c>
      <c r="D100" s="553">
        <v>355</v>
      </c>
      <c r="E100" s="552">
        <v>647.84</v>
      </c>
      <c r="F100" s="552">
        <f t="shared" ref="F100:F104" si="24">E100-D100</f>
        <v>292.84000000000003</v>
      </c>
      <c r="G100" s="552">
        <f>E100+50</f>
        <v>697.84</v>
      </c>
      <c r="H100" s="19" t="s">
        <v>95</v>
      </c>
      <c r="N100" s="541" t="s">
        <v>85</v>
      </c>
      <c r="O100" s="552">
        <f>G100</f>
        <v>697.84</v>
      </c>
      <c r="P100" s="32"/>
      <c r="Q100" s="52">
        <f>O100</f>
        <v>697.84</v>
      </c>
      <c r="R100" s="240"/>
      <c r="U100" s="459"/>
    </row>
    <row r="101" spans="1:22" s="458" customFormat="1" ht="21.95" customHeight="1" x14ac:dyDescent="0.25">
      <c r="A101" s="268" t="e">
        <f>A99+1</f>
        <v>#REF!</v>
      </c>
      <c r="B101" s="541" t="s">
        <v>84</v>
      </c>
      <c r="C101" s="552">
        <v>27498</v>
      </c>
      <c r="D101" s="553">
        <v>15318</v>
      </c>
      <c r="E101" s="552">
        <v>25294.76</v>
      </c>
      <c r="F101" s="552">
        <f t="shared" si="24"/>
        <v>9976.7599999999984</v>
      </c>
      <c r="G101" s="552">
        <f>E101+10000</f>
        <v>35294.759999999995</v>
      </c>
      <c r="H101" s="458" t="s">
        <v>736</v>
      </c>
      <c r="N101" s="541" t="s">
        <v>84</v>
      </c>
      <c r="O101" s="552">
        <f>G101</f>
        <v>35294.759999999995</v>
      </c>
      <c r="P101" s="32"/>
      <c r="Q101" s="252">
        <f>O101</f>
        <v>35294.759999999995</v>
      </c>
      <c r="R101" s="253"/>
      <c r="S101" s="458" t="s">
        <v>737</v>
      </c>
      <c r="U101" s="459"/>
    </row>
    <row r="102" spans="1:22" s="458" customFormat="1" ht="21.95" customHeight="1" x14ac:dyDescent="0.25">
      <c r="A102" s="268" t="e">
        <f>A100+1</f>
        <v>#REF!</v>
      </c>
      <c r="B102" s="541" t="s">
        <v>86</v>
      </c>
      <c r="C102" s="552">
        <v>358</v>
      </c>
      <c r="D102" s="553">
        <v>75</v>
      </c>
      <c r="E102" s="552">
        <v>308.82</v>
      </c>
      <c r="F102" s="552">
        <f t="shared" si="24"/>
        <v>233.82</v>
      </c>
      <c r="G102" s="552">
        <f>E102+500</f>
        <v>808.81999999999994</v>
      </c>
      <c r="H102" s="458" t="s">
        <v>736</v>
      </c>
      <c r="N102" s="541" t="s">
        <v>86</v>
      </c>
      <c r="O102" s="552">
        <f>G102</f>
        <v>808.81999999999994</v>
      </c>
      <c r="P102" s="32"/>
      <c r="Q102" s="52">
        <f>O102</f>
        <v>808.81999999999994</v>
      </c>
      <c r="R102" s="240"/>
      <c r="U102" s="459"/>
    </row>
    <row r="103" spans="1:22" s="458" customFormat="1" ht="21.95" customHeight="1" x14ac:dyDescent="0.25">
      <c r="A103" s="268" t="e">
        <f t="shared" si="22"/>
        <v>#REF!</v>
      </c>
      <c r="B103" s="541" t="s">
        <v>87</v>
      </c>
      <c r="C103" s="552">
        <v>3469</v>
      </c>
      <c r="D103" s="553">
        <v>1725</v>
      </c>
      <c r="E103" s="552">
        <v>3371.1</v>
      </c>
      <c r="F103" s="552">
        <f t="shared" si="24"/>
        <v>1646.1</v>
      </c>
      <c r="G103" s="552">
        <f>E103+500</f>
        <v>3871.1</v>
      </c>
      <c r="H103" s="458" t="s">
        <v>736</v>
      </c>
      <c r="N103" s="541" t="s">
        <v>87</v>
      </c>
      <c r="O103" s="552">
        <v>3871.1</v>
      </c>
      <c r="P103" s="32"/>
      <c r="Q103" s="52">
        <v>3871.1</v>
      </c>
      <c r="R103" s="240"/>
      <c r="U103" s="459"/>
    </row>
    <row r="104" spans="1:22" s="497" customFormat="1" ht="21.95" customHeight="1" x14ac:dyDescent="0.25">
      <c r="A104" s="268" t="e">
        <f t="shared" si="22"/>
        <v>#REF!</v>
      </c>
      <c r="B104" s="541" t="s">
        <v>88</v>
      </c>
      <c r="C104" s="552">
        <v>189</v>
      </c>
      <c r="D104" s="553">
        <v>206</v>
      </c>
      <c r="E104" s="552">
        <v>188.5</v>
      </c>
      <c r="F104" s="552">
        <f t="shared" si="24"/>
        <v>-17.5</v>
      </c>
      <c r="G104" s="552">
        <f>E104</f>
        <v>188.5</v>
      </c>
      <c r="H104" s="19" t="s">
        <v>95</v>
      </c>
      <c r="N104" s="541" t="s">
        <v>88</v>
      </c>
      <c r="O104" s="552">
        <v>188.5</v>
      </c>
      <c r="P104" s="32"/>
      <c r="Q104" s="52">
        <v>188.5</v>
      </c>
      <c r="R104" s="240"/>
      <c r="U104" s="504"/>
    </row>
    <row r="105" spans="1:22" s="458" customFormat="1" ht="21.95" customHeight="1" x14ac:dyDescent="0.25">
      <c r="A105" s="268" t="e">
        <f t="shared" si="22"/>
        <v>#REF!</v>
      </c>
      <c r="B105" s="561"/>
      <c r="C105" s="106"/>
      <c r="D105" s="248"/>
      <c r="E105" s="106"/>
      <c r="F105" s="592"/>
      <c r="G105" s="105"/>
      <c r="H105" s="353" t="s">
        <v>95</v>
      </c>
      <c r="I105" s="523"/>
      <c r="J105" s="523"/>
      <c r="K105" s="523"/>
      <c r="L105" s="523"/>
      <c r="M105" s="558">
        <f>SUM(G99:G104)</f>
        <v>54256.529999999992</v>
      </c>
      <c r="N105" s="561"/>
      <c r="O105" s="23"/>
      <c r="P105" s="610">
        <f>SUM(O99:O104)</f>
        <v>54256.529999999992</v>
      </c>
      <c r="Q105" s="499">
        <f>SUM(Q99:Q104)</f>
        <v>54256.529999999992</v>
      </c>
      <c r="R105" s="425"/>
      <c r="U105" s="459"/>
    </row>
    <row r="106" spans="1:22" s="458" customFormat="1" ht="35.25" customHeight="1" x14ac:dyDescent="0.25">
      <c r="A106" s="268" t="e">
        <f t="shared" si="22"/>
        <v>#REF!</v>
      </c>
      <c r="B106" s="541" t="s">
        <v>90</v>
      </c>
      <c r="C106" s="593">
        <v>185000</v>
      </c>
      <c r="D106" s="553">
        <v>146458</v>
      </c>
      <c r="E106" s="552">
        <v>183456.6</v>
      </c>
      <c r="F106" s="552">
        <f>E106-D106</f>
        <v>36998.600000000006</v>
      </c>
      <c r="G106" s="593">
        <f>U106</f>
        <v>175740</v>
      </c>
      <c r="H106" s="43" t="s">
        <v>95</v>
      </c>
      <c r="I106" s="497"/>
      <c r="J106" s="497"/>
      <c r="K106" s="497"/>
      <c r="L106" s="497"/>
      <c r="M106" s="497"/>
      <c r="N106" s="541" t="s">
        <v>90</v>
      </c>
      <c r="O106" s="593">
        <f>G106</f>
        <v>175740</v>
      </c>
      <c r="P106" s="38"/>
      <c r="Q106" s="275">
        <f>O106</f>
        <v>175740</v>
      </c>
      <c r="R106" s="249"/>
      <c r="S106" s="458" t="s">
        <v>738</v>
      </c>
      <c r="T106" s="496">
        <v>46326</v>
      </c>
      <c r="U106" s="502">
        <v>175740</v>
      </c>
      <c r="V106" s="458" t="s">
        <v>739</v>
      </c>
    </row>
    <row r="107" spans="1:22" s="458" customFormat="1" ht="21.95" customHeight="1" x14ac:dyDescent="0.25">
      <c r="A107" s="268" t="e">
        <f t="shared" si="22"/>
        <v>#REF!</v>
      </c>
      <c r="B107" s="541" t="s">
        <v>91</v>
      </c>
      <c r="C107" s="552">
        <v>28841</v>
      </c>
      <c r="D107" s="553">
        <v>28841</v>
      </c>
      <c r="E107" s="552">
        <v>28841.4</v>
      </c>
      <c r="F107" s="552">
        <f t="shared" ref="F107:F118" si="25">E107-D107</f>
        <v>0.40000000000145519</v>
      </c>
      <c r="G107" s="552">
        <f>E107</f>
        <v>28841.4</v>
      </c>
      <c r="H107" s="43" t="s">
        <v>95</v>
      </c>
      <c r="I107" s="497"/>
      <c r="J107" s="497"/>
      <c r="K107" s="497"/>
      <c r="L107" s="497"/>
      <c r="M107" s="497"/>
      <c r="N107" s="541" t="s">
        <v>91</v>
      </c>
      <c r="O107" s="552">
        <v>28841.4</v>
      </c>
      <c r="P107" s="32"/>
      <c r="Q107" s="52">
        <v>28841.4</v>
      </c>
      <c r="R107" s="240"/>
      <c r="S107" s="458" t="s">
        <v>740</v>
      </c>
      <c r="T107" s="458" t="s">
        <v>741</v>
      </c>
      <c r="U107" s="495">
        <v>28841</v>
      </c>
    </row>
    <row r="108" spans="1:22" s="458" customFormat="1" ht="21.95" customHeight="1" x14ac:dyDescent="0.25">
      <c r="A108" s="268" t="e">
        <f>A111+1</f>
        <v>#REF!</v>
      </c>
      <c r="B108" s="541" t="s">
        <v>93</v>
      </c>
      <c r="C108" s="552">
        <v>29280</v>
      </c>
      <c r="D108" s="553">
        <v>25140</v>
      </c>
      <c r="E108" s="552">
        <v>29280</v>
      </c>
      <c r="F108" s="552">
        <f t="shared" si="25"/>
        <v>4140</v>
      </c>
      <c r="G108" s="552">
        <f>U108</f>
        <v>26200</v>
      </c>
      <c r="H108" s="43" t="s">
        <v>95</v>
      </c>
      <c r="I108" s="497"/>
      <c r="J108" s="497"/>
      <c r="K108" s="497"/>
      <c r="L108" s="497"/>
      <c r="M108" s="497"/>
      <c r="N108" s="541" t="s">
        <v>93</v>
      </c>
      <c r="O108" s="552">
        <f>G108</f>
        <v>26200</v>
      </c>
      <c r="P108" s="32"/>
      <c r="Q108" s="252">
        <f>O108</f>
        <v>26200</v>
      </c>
      <c r="R108" s="240"/>
      <c r="S108" s="458" t="s">
        <v>742</v>
      </c>
      <c r="T108" s="496">
        <v>44957</v>
      </c>
      <c r="U108" s="277">
        <v>26200</v>
      </c>
      <c r="V108" s="19" t="s">
        <v>739</v>
      </c>
    </row>
    <row r="109" spans="1:22" s="458" customFormat="1" ht="21.95" customHeight="1" x14ac:dyDescent="0.25">
      <c r="A109" s="268" t="e">
        <f>A108+1</f>
        <v>#REF!</v>
      </c>
      <c r="B109" s="541" t="s">
        <v>94</v>
      </c>
      <c r="C109" s="552">
        <v>14486</v>
      </c>
      <c r="D109" s="553">
        <v>14367</v>
      </c>
      <c r="E109" s="552">
        <v>14486</v>
      </c>
      <c r="F109" s="552">
        <f t="shared" si="25"/>
        <v>119</v>
      </c>
      <c r="G109" s="552">
        <f>E109</f>
        <v>14486</v>
      </c>
      <c r="H109" s="43" t="s">
        <v>95</v>
      </c>
      <c r="I109" s="497"/>
      <c r="J109" s="497"/>
      <c r="K109" s="497"/>
      <c r="L109" s="497"/>
      <c r="M109" s="497"/>
      <c r="N109" s="541" t="s">
        <v>94</v>
      </c>
      <c r="O109" s="552">
        <v>14486</v>
      </c>
      <c r="P109" s="32"/>
      <c r="Q109" s="52">
        <v>14486</v>
      </c>
      <c r="R109" s="240"/>
      <c r="S109" s="458" t="s">
        <v>743</v>
      </c>
      <c r="T109" s="496">
        <v>44804</v>
      </c>
      <c r="U109" s="495">
        <v>14486</v>
      </c>
    </row>
    <row r="110" spans="1:22" s="458" customFormat="1" ht="21.95" customHeight="1" x14ac:dyDescent="0.25">
      <c r="A110" s="268" t="e">
        <f>A109+1</f>
        <v>#REF!</v>
      </c>
      <c r="B110" s="541" t="s">
        <v>96</v>
      </c>
      <c r="C110" s="552">
        <v>99660</v>
      </c>
      <c r="D110" s="553">
        <v>99660</v>
      </c>
      <c r="E110" s="552">
        <v>99660.44</v>
      </c>
      <c r="F110" s="552">
        <f t="shared" si="25"/>
        <v>0.44000000000232831</v>
      </c>
      <c r="G110" s="552">
        <f>E110</f>
        <v>99660.44</v>
      </c>
      <c r="H110" s="19" t="s">
        <v>95</v>
      </c>
      <c r="N110" s="541" t="s">
        <v>96</v>
      </c>
      <c r="O110" s="552">
        <v>99660.44</v>
      </c>
      <c r="P110" s="32"/>
      <c r="Q110" s="52">
        <v>99660.44</v>
      </c>
      <c r="R110" s="240"/>
      <c r="S110" s="458" t="s">
        <v>744</v>
      </c>
      <c r="T110" s="458" t="s">
        <v>745</v>
      </c>
      <c r="U110" s="495">
        <v>99660</v>
      </c>
    </row>
    <row r="111" spans="1:22" s="458" customFormat="1" ht="21.95" customHeight="1" x14ac:dyDescent="0.25">
      <c r="A111" s="268" t="e">
        <f>A107+1</f>
        <v>#REF!</v>
      </c>
      <c r="B111" s="541" t="s">
        <v>92</v>
      </c>
      <c r="C111" s="552">
        <v>12600</v>
      </c>
      <c r="D111" s="553">
        <v>12635</v>
      </c>
      <c r="E111" s="552">
        <v>12600</v>
      </c>
      <c r="F111" s="552">
        <f t="shared" si="25"/>
        <v>-35</v>
      </c>
      <c r="G111" s="552">
        <f t="shared" ref="G111:G117" si="26">E111</f>
        <v>12600</v>
      </c>
      <c r="H111" s="19" t="s">
        <v>95</v>
      </c>
      <c r="N111" s="541" t="s">
        <v>92</v>
      </c>
      <c r="O111" s="552">
        <v>12600</v>
      </c>
      <c r="P111" s="32"/>
      <c r="Q111" s="52">
        <v>12600</v>
      </c>
      <c r="R111" s="240"/>
      <c r="S111" s="458" t="s">
        <v>747</v>
      </c>
      <c r="T111" s="496">
        <v>44926</v>
      </c>
      <c r="U111" s="495">
        <v>12600</v>
      </c>
    </row>
    <row r="112" spans="1:22" s="458" customFormat="1" ht="21.95" customHeight="1" x14ac:dyDescent="0.25">
      <c r="A112" s="268" t="e">
        <f>A122+1</f>
        <v>#REF!</v>
      </c>
      <c r="B112" s="541" t="s">
        <v>99</v>
      </c>
      <c r="C112" s="552">
        <v>6010</v>
      </c>
      <c r="D112" s="553">
        <v>6009</v>
      </c>
      <c r="E112" s="552">
        <v>7233.99</v>
      </c>
      <c r="F112" s="552">
        <f t="shared" si="25"/>
        <v>1224.9899999999998</v>
      </c>
      <c r="G112" s="552">
        <f t="shared" si="26"/>
        <v>7233.99</v>
      </c>
      <c r="H112" s="19" t="s">
        <v>95</v>
      </c>
      <c r="N112" s="541" t="s">
        <v>99</v>
      </c>
      <c r="O112" s="552">
        <v>7233.99</v>
      </c>
      <c r="P112" s="32"/>
      <c r="Q112" s="52">
        <v>7233.99</v>
      </c>
      <c r="R112" s="240"/>
      <c r="S112" s="458" t="s">
        <v>748</v>
      </c>
      <c r="T112" s="496">
        <v>45201</v>
      </c>
      <c r="U112" s="495">
        <v>7234</v>
      </c>
    </row>
    <row r="113" spans="1:22" s="458" customFormat="1" ht="32.25" customHeight="1" x14ac:dyDescent="0.25">
      <c r="A113" s="268" t="e">
        <f t="shared" si="22"/>
        <v>#REF!</v>
      </c>
      <c r="B113" s="541" t="s">
        <v>100</v>
      </c>
      <c r="C113" s="552">
        <v>11803.776666666672</v>
      </c>
      <c r="D113" s="553">
        <v>25156</v>
      </c>
      <c r="E113" s="552">
        <v>11811.7</v>
      </c>
      <c r="F113" s="552">
        <f t="shared" si="25"/>
        <v>-13344.3</v>
      </c>
      <c r="G113" s="552">
        <f t="shared" si="26"/>
        <v>11811.7</v>
      </c>
      <c r="H113" s="19" t="s">
        <v>95</v>
      </c>
      <c r="N113" s="541" t="s">
        <v>100</v>
      </c>
      <c r="O113" s="552">
        <v>11811.7</v>
      </c>
      <c r="P113" s="32"/>
      <c r="Q113" s="52">
        <v>11811.7</v>
      </c>
      <c r="R113" s="240"/>
      <c r="S113" s="458" t="s">
        <v>749</v>
      </c>
      <c r="T113" s="496">
        <v>46203</v>
      </c>
      <c r="U113" s="495">
        <f>11811.7</f>
        <v>11811.7</v>
      </c>
    </row>
    <row r="114" spans="1:22" s="458" customFormat="1" ht="21.95" customHeight="1" x14ac:dyDescent="0.25">
      <c r="A114" s="268" t="e">
        <f t="shared" si="22"/>
        <v>#REF!</v>
      </c>
      <c r="B114" s="541" t="s">
        <v>101</v>
      </c>
      <c r="C114" s="552">
        <v>523.57000000000005</v>
      </c>
      <c r="D114" s="553">
        <v>525</v>
      </c>
      <c r="E114" s="552">
        <v>523.57000000000005</v>
      </c>
      <c r="F114" s="552">
        <f t="shared" si="25"/>
        <v>-1.42999999999995</v>
      </c>
      <c r="G114" s="552">
        <f t="shared" si="26"/>
        <v>523.57000000000005</v>
      </c>
      <c r="H114" s="19" t="s">
        <v>95</v>
      </c>
      <c r="N114" s="541" t="s">
        <v>101</v>
      </c>
      <c r="O114" s="552">
        <v>523.57000000000005</v>
      </c>
      <c r="P114" s="32"/>
      <c r="Q114" s="52">
        <v>523.57000000000005</v>
      </c>
      <c r="R114" s="240"/>
      <c r="S114" s="458" t="s">
        <v>750</v>
      </c>
      <c r="U114" s="495">
        <v>524</v>
      </c>
    </row>
    <row r="115" spans="1:22" s="458" customFormat="1" ht="21.95" customHeight="1" x14ac:dyDescent="0.25">
      <c r="A115" s="268" t="e">
        <f>A114+1</f>
        <v>#REF!</v>
      </c>
      <c r="B115" s="541" t="s">
        <v>102</v>
      </c>
      <c r="C115" s="552">
        <v>12000</v>
      </c>
      <c r="D115" s="553">
        <v>12000</v>
      </c>
      <c r="E115" s="552">
        <v>12000</v>
      </c>
      <c r="F115" s="552">
        <f t="shared" si="25"/>
        <v>0</v>
      </c>
      <c r="G115" s="552">
        <f t="shared" si="26"/>
        <v>12000</v>
      </c>
      <c r="H115" s="19" t="s">
        <v>95</v>
      </c>
      <c r="N115" s="541" t="s">
        <v>102</v>
      </c>
      <c r="O115" s="552">
        <v>12000</v>
      </c>
      <c r="P115" s="32"/>
      <c r="Q115" s="52">
        <v>12000</v>
      </c>
      <c r="R115" s="240"/>
      <c r="S115" s="458" t="s">
        <v>743</v>
      </c>
      <c r="T115" s="496">
        <v>44804</v>
      </c>
      <c r="U115" s="495">
        <v>12000</v>
      </c>
    </row>
    <row r="116" spans="1:22" s="458" customFormat="1" ht="21.95" customHeight="1" x14ac:dyDescent="0.25">
      <c r="A116" s="268" t="e">
        <f>A120+1</f>
        <v>#REF!</v>
      </c>
      <c r="B116" s="541" t="s">
        <v>107</v>
      </c>
      <c r="C116" s="552">
        <v>565.58999999999992</v>
      </c>
      <c r="D116" s="553">
        <v>1129</v>
      </c>
      <c r="E116" s="552">
        <v>564.29</v>
      </c>
      <c r="F116" s="552">
        <f t="shared" si="25"/>
        <v>-564.71</v>
      </c>
      <c r="G116" s="552">
        <f t="shared" si="26"/>
        <v>564.29</v>
      </c>
      <c r="H116" s="19" t="s">
        <v>95</v>
      </c>
      <c r="N116" s="541" t="s">
        <v>107</v>
      </c>
      <c r="O116" s="552">
        <v>564.29</v>
      </c>
      <c r="P116" s="32"/>
      <c r="Q116" s="52">
        <v>564.29</v>
      </c>
      <c r="R116" s="240"/>
      <c r="S116" s="458" t="s">
        <v>753</v>
      </c>
      <c r="T116" s="496">
        <v>46752</v>
      </c>
      <c r="U116" s="495">
        <v>564.29999999999995</v>
      </c>
    </row>
    <row r="117" spans="1:22" s="458" customFormat="1" ht="21.95" customHeight="1" x14ac:dyDescent="0.25">
      <c r="A117" s="268" t="e">
        <f>A115+1</f>
        <v>#REF!</v>
      </c>
      <c r="B117" s="541" t="s">
        <v>105</v>
      </c>
      <c r="C117" s="552">
        <v>1000</v>
      </c>
      <c r="D117" s="553">
        <v>933</v>
      </c>
      <c r="E117" s="552">
        <v>0</v>
      </c>
      <c r="F117" s="552">
        <f t="shared" si="25"/>
        <v>-933</v>
      </c>
      <c r="G117" s="552">
        <f t="shared" si="26"/>
        <v>0</v>
      </c>
      <c r="H117" s="19" t="s">
        <v>95</v>
      </c>
      <c r="N117" s="541" t="s">
        <v>105</v>
      </c>
      <c r="O117" s="552">
        <v>0</v>
      </c>
      <c r="P117" s="32"/>
      <c r="Q117" s="52">
        <v>0</v>
      </c>
      <c r="R117" s="240"/>
      <c r="U117" s="459"/>
    </row>
    <row r="118" spans="1:22" s="458" customFormat="1" ht="21.95" customHeight="1" x14ac:dyDescent="0.25">
      <c r="A118" s="268"/>
      <c r="B118" s="541" t="s">
        <v>757</v>
      </c>
      <c r="C118" s="594">
        <v>10000</v>
      </c>
      <c r="D118" s="595">
        <v>0</v>
      </c>
      <c r="E118" s="594">
        <v>4718.2299999999996</v>
      </c>
      <c r="F118" s="552">
        <f t="shared" si="25"/>
        <v>4718.2299999999996</v>
      </c>
      <c r="G118" s="552">
        <v>10000</v>
      </c>
      <c r="H118" s="19" t="s">
        <v>95</v>
      </c>
      <c r="M118" s="528"/>
      <c r="N118" s="541" t="s">
        <v>757</v>
      </c>
      <c r="O118" s="552">
        <v>10000</v>
      </c>
      <c r="P118" s="32"/>
      <c r="Q118" s="52">
        <v>10000</v>
      </c>
      <c r="R118" s="240"/>
      <c r="S118" s="458" t="s">
        <v>758</v>
      </c>
      <c r="U118" s="459"/>
    </row>
    <row r="119" spans="1:22" s="458" customFormat="1" ht="21.95" customHeight="1" x14ac:dyDescent="0.25">
      <c r="A119" s="268" t="e">
        <f>A116+1</f>
        <v>#REF!</v>
      </c>
      <c r="B119" s="561"/>
      <c r="C119" s="596">
        <v>421220.9366666667</v>
      </c>
      <c r="D119" s="597">
        <f>SUM(D106:D118)+2</f>
        <v>372855</v>
      </c>
      <c r="E119" s="596">
        <f>SUM(E106:E118)</f>
        <v>405176.22</v>
      </c>
      <c r="F119" s="596">
        <f t="shared" ref="F119:F124" si="27">E119-D119</f>
        <v>32321.219999999972</v>
      </c>
      <c r="G119" s="598"/>
      <c r="H119" s="353" t="s">
        <v>95</v>
      </c>
      <c r="I119" s="523"/>
      <c r="J119" s="523"/>
      <c r="K119" s="523"/>
      <c r="L119" s="523"/>
      <c r="M119" s="558">
        <f>SUM(G106:G118)</f>
        <v>399661.38999999996</v>
      </c>
      <c r="N119" s="561"/>
      <c r="O119" s="605"/>
      <c r="P119" s="611">
        <f>SUM(O106:O118)</f>
        <v>399661.38999999996</v>
      </c>
      <c r="Q119" s="507">
        <f>SUM(Q106:Q118)</f>
        <v>399661.38999999996</v>
      </c>
      <c r="R119" s="509"/>
      <c r="U119" s="459"/>
    </row>
    <row r="120" spans="1:22" s="458" customFormat="1" ht="21.95" customHeight="1" x14ac:dyDescent="0.25">
      <c r="A120" s="268" t="e">
        <f>A124+1</f>
        <v>#REF!</v>
      </c>
      <c r="B120" s="541" t="s">
        <v>106</v>
      </c>
      <c r="C120" s="552">
        <v>808</v>
      </c>
      <c r="D120" s="553">
        <v>1452</v>
      </c>
      <c r="E120" s="552">
        <v>806</v>
      </c>
      <c r="F120" s="552">
        <f t="shared" si="27"/>
        <v>-646</v>
      </c>
      <c r="G120" s="552">
        <f>E120</f>
        <v>806</v>
      </c>
      <c r="H120" s="19" t="s">
        <v>95</v>
      </c>
      <c r="N120" s="541" t="s">
        <v>106</v>
      </c>
      <c r="O120" s="552">
        <v>806</v>
      </c>
      <c r="P120" s="32"/>
      <c r="Q120" s="52">
        <v>806</v>
      </c>
      <c r="R120" s="240"/>
      <c r="S120" s="458" t="s">
        <v>751</v>
      </c>
      <c r="T120" s="496">
        <v>44561</v>
      </c>
      <c r="U120" s="495">
        <f>490/2</f>
        <v>245</v>
      </c>
      <c r="V120" s="458" t="s">
        <v>752</v>
      </c>
    </row>
    <row r="121" spans="1:22" s="458" customFormat="1" ht="21.95" customHeight="1" x14ac:dyDescent="0.25">
      <c r="A121" s="268" t="e">
        <f>A110+1</f>
        <v>#REF!</v>
      </c>
      <c r="B121" s="541" t="s">
        <v>97</v>
      </c>
      <c r="C121" s="552">
        <v>0</v>
      </c>
      <c r="D121" s="553">
        <v>1206</v>
      </c>
      <c r="E121" s="552">
        <v>0</v>
      </c>
      <c r="F121" s="552">
        <f t="shared" si="27"/>
        <v>-1206</v>
      </c>
      <c r="G121" s="552">
        <f>'[1]68,05,570 CONTR.ASS.SERVER PRIV'!P1</f>
        <v>0</v>
      </c>
      <c r="H121" s="19" t="s">
        <v>95</v>
      </c>
      <c r="N121" s="541" t="s">
        <v>97</v>
      </c>
      <c r="O121" s="552">
        <v>0</v>
      </c>
      <c r="P121" s="32"/>
      <c r="Q121" s="52">
        <v>0</v>
      </c>
      <c r="R121" s="240"/>
      <c r="U121" s="459"/>
    </row>
    <row r="122" spans="1:22" s="458" customFormat="1" ht="21.95" customHeight="1" x14ac:dyDescent="0.25">
      <c r="A122" s="268" t="e">
        <f>A121+1</f>
        <v>#REF!</v>
      </c>
      <c r="B122" s="541" t="s">
        <v>98</v>
      </c>
      <c r="C122" s="552">
        <v>5410</v>
      </c>
      <c r="D122" s="553">
        <v>3528</v>
      </c>
      <c r="E122" s="552">
        <v>5395</v>
      </c>
      <c r="F122" s="552">
        <f t="shared" si="27"/>
        <v>1867</v>
      </c>
      <c r="G122" s="552">
        <f>E122</f>
        <v>5395</v>
      </c>
      <c r="H122" s="19" t="s">
        <v>95</v>
      </c>
      <c r="N122" s="541" t="s">
        <v>98</v>
      </c>
      <c r="O122" s="552">
        <v>5395</v>
      </c>
      <c r="P122" s="32"/>
      <c r="Q122" s="52">
        <v>5395</v>
      </c>
      <c r="R122" s="240"/>
      <c r="S122" s="458" t="s">
        <v>746</v>
      </c>
      <c r="T122" s="496">
        <v>45291</v>
      </c>
      <c r="U122" s="495">
        <v>5395</v>
      </c>
    </row>
    <row r="123" spans="1:22" s="458" customFormat="1" ht="21.95" customHeight="1" x14ac:dyDescent="0.25">
      <c r="A123" s="268" t="e">
        <f>A117+1</f>
        <v>#REF!</v>
      </c>
      <c r="B123" s="541" t="s">
        <v>103</v>
      </c>
      <c r="C123" s="552">
        <v>225</v>
      </c>
      <c r="D123" s="553">
        <v>933</v>
      </c>
      <c r="E123" s="552">
        <v>500</v>
      </c>
      <c r="F123" s="552">
        <f t="shared" si="27"/>
        <v>-433</v>
      </c>
      <c r="G123" s="552">
        <f>E123</f>
        <v>500</v>
      </c>
      <c r="H123" s="19" t="s">
        <v>95</v>
      </c>
      <c r="N123" s="541" t="s">
        <v>103</v>
      </c>
      <c r="O123" s="552">
        <v>500</v>
      </c>
      <c r="P123" s="32"/>
      <c r="Q123" s="52">
        <v>500</v>
      </c>
      <c r="R123" s="240"/>
      <c r="S123" s="458" t="s">
        <v>754</v>
      </c>
      <c r="T123" s="496">
        <v>44561</v>
      </c>
      <c r="U123" s="278">
        <v>500</v>
      </c>
    </row>
    <row r="124" spans="1:22" s="458" customFormat="1" ht="21.95" customHeight="1" x14ac:dyDescent="0.25">
      <c r="A124" s="268" t="e">
        <f>A123+1</f>
        <v>#REF!</v>
      </c>
      <c r="B124" s="541" t="s">
        <v>104</v>
      </c>
      <c r="C124" s="552">
        <v>3008</v>
      </c>
      <c r="D124" s="553">
        <v>6000</v>
      </c>
      <c r="E124" s="552">
        <v>3000</v>
      </c>
      <c r="F124" s="552">
        <f t="shared" si="27"/>
        <v>-3000</v>
      </c>
      <c r="G124" s="552">
        <f>E124</f>
        <v>3000</v>
      </c>
      <c r="H124" s="19" t="s">
        <v>95</v>
      </c>
      <c r="N124" s="541" t="s">
        <v>104</v>
      </c>
      <c r="O124" s="552">
        <v>3000</v>
      </c>
      <c r="P124" s="32"/>
      <c r="Q124" s="52">
        <v>3000</v>
      </c>
      <c r="R124" s="240"/>
      <c r="S124" s="458" t="s">
        <v>755</v>
      </c>
      <c r="U124" s="459">
        <v>800</v>
      </c>
      <c r="V124" s="19" t="s">
        <v>756</v>
      </c>
    </row>
    <row r="125" spans="1:22" s="458" customFormat="1" ht="21.95" customHeight="1" x14ac:dyDescent="0.25">
      <c r="A125" s="268"/>
      <c r="B125" s="541" t="s">
        <v>137</v>
      </c>
      <c r="C125" s="552"/>
      <c r="D125" s="553"/>
      <c r="E125" s="552"/>
      <c r="F125" s="552"/>
      <c r="G125" s="552">
        <v>2058</v>
      </c>
      <c r="H125" s="19"/>
      <c r="N125" s="541" t="s">
        <v>137</v>
      </c>
      <c r="O125" s="552">
        <v>2058</v>
      </c>
      <c r="P125" s="32"/>
      <c r="Q125" s="52"/>
      <c r="R125" s="240"/>
      <c r="U125" s="459"/>
      <c r="V125" s="19"/>
    </row>
    <row r="126" spans="1:22" s="459" customFormat="1" ht="30" customHeight="1" x14ac:dyDescent="0.25">
      <c r="A126" s="268"/>
      <c r="B126" s="536" t="s">
        <v>784</v>
      </c>
      <c r="C126" s="537"/>
      <c r="D126" s="538"/>
      <c r="E126" s="537"/>
      <c r="F126" s="537"/>
      <c r="G126" s="539">
        <v>30000</v>
      </c>
      <c r="H126" s="299"/>
      <c r="I126" s="299"/>
      <c r="J126" s="299"/>
      <c r="K126" s="299"/>
      <c r="L126" s="299"/>
      <c r="M126" s="299"/>
      <c r="N126" s="536" t="s">
        <v>784</v>
      </c>
      <c r="O126" s="539">
        <v>30000</v>
      </c>
      <c r="P126" s="539">
        <f>SUM(O120:O126)</f>
        <v>41759</v>
      </c>
      <c r="Q126" s="298">
        <v>30000</v>
      </c>
      <c r="R126" s="300"/>
      <c r="S126" s="458"/>
      <c r="T126" s="458"/>
    </row>
    <row r="127" spans="1:22" s="458" customFormat="1" ht="21.95" customHeight="1" x14ac:dyDescent="0.25">
      <c r="A127" s="268"/>
      <c r="B127" s="269"/>
      <c r="C127" s="52"/>
      <c r="D127" s="239"/>
      <c r="E127" s="52"/>
      <c r="F127" s="52"/>
      <c r="G127" s="52"/>
      <c r="H127" s="19"/>
      <c r="M127" s="558">
        <f>SUM(G120:G126)</f>
        <v>41759</v>
      </c>
      <c r="N127" s="269"/>
      <c r="O127" s="32"/>
      <c r="P127" s="32"/>
      <c r="Q127" s="52"/>
      <c r="R127" s="240"/>
      <c r="U127" s="459"/>
      <c r="V127" s="19"/>
    </row>
    <row r="128" spans="1:22" s="35" customFormat="1" ht="21.95" customHeight="1" x14ac:dyDescent="0.25">
      <c r="A128" s="485" t="e">
        <f>A123+1</f>
        <v>#REF!</v>
      </c>
      <c r="B128" s="599" t="s">
        <v>109</v>
      </c>
      <c r="C128" s="600">
        <v>600</v>
      </c>
      <c r="D128" s="601">
        <v>600</v>
      </c>
      <c r="E128" s="600">
        <v>600</v>
      </c>
      <c r="F128" s="600">
        <f>E128-D128</f>
        <v>0</v>
      </c>
      <c r="G128" s="601">
        <v>600</v>
      </c>
      <c r="H128" s="19" t="s">
        <v>95</v>
      </c>
      <c r="N128" s="599" t="s">
        <v>109</v>
      </c>
      <c r="O128" s="601">
        <v>600</v>
      </c>
      <c r="P128" s="606"/>
      <c r="Q128" s="511">
        <v>600</v>
      </c>
      <c r="R128" s="512"/>
      <c r="U128" s="287"/>
    </row>
    <row r="129" spans="1:21" s="35" customFormat="1" ht="21.95" customHeight="1" x14ac:dyDescent="0.25">
      <c r="A129" s="485" t="e">
        <f>A124+1</f>
        <v>#REF!</v>
      </c>
      <c r="B129" s="599" t="s">
        <v>110</v>
      </c>
      <c r="C129" s="600">
        <v>3850</v>
      </c>
      <c r="D129" s="601">
        <v>3987</v>
      </c>
      <c r="E129" s="600">
        <v>3723.28</v>
      </c>
      <c r="F129" s="600">
        <f t="shared" ref="F129:F153" si="28">E129-D129</f>
        <v>-263.7199999999998</v>
      </c>
      <c r="G129" s="601">
        <v>3723.28</v>
      </c>
      <c r="H129" s="19" t="s">
        <v>95</v>
      </c>
      <c r="N129" s="599" t="s">
        <v>110</v>
      </c>
      <c r="O129" s="601">
        <v>3723.28</v>
      </c>
      <c r="P129" s="606"/>
      <c r="Q129" s="511">
        <v>3723.28</v>
      </c>
      <c r="R129" s="512"/>
      <c r="U129" s="287"/>
    </row>
    <row r="130" spans="1:21" s="35" customFormat="1" ht="21.95" customHeight="1" x14ac:dyDescent="0.25">
      <c r="A130" s="485" t="e">
        <f>A117+1</f>
        <v>#REF!</v>
      </c>
      <c r="B130" s="599" t="s">
        <v>111</v>
      </c>
      <c r="C130" s="600">
        <v>39789.839999999997</v>
      </c>
      <c r="D130" s="601">
        <v>39610</v>
      </c>
      <c r="E130" s="600">
        <v>39789.839999999997</v>
      </c>
      <c r="F130" s="600">
        <f t="shared" si="28"/>
        <v>179.83999999999651</v>
      </c>
      <c r="G130" s="601">
        <v>39789.839999999997</v>
      </c>
      <c r="H130" s="19" t="s">
        <v>95</v>
      </c>
      <c r="N130" s="599" t="s">
        <v>111</v>
      </c>
      <c r="O130" s="601">
        <v>39789.839999999997</v>
      </c>
      <c r="P130" s="606"/>
      <c r="Q130" s="511">
        <v>39789.839999999997</v>
      </c>
      <c r="R130" s="512"/>
      <c r="U130" s="287"/>
    </row>
    <row r="131" spans="1:21" s="35" customFormat="1" ht="21.95" customHeight="1" x14ac:dyDescent="0.25">
      <c r="A131" s="485" t="e">
        <f>A119+1</f>
        <v>#REF!</v>
      </c>
      <c r="B131" s="599" t="s">
        <v>112</v>
      </c>
      <c r="C131" s="600">
        <v>20663.03</v>
      </c>
      <c r="D131" s="601">
        <v>20568</v>
      </c>
      <c r="E131" s="600">
        <v>20663.03</v>
      </c>
      <c r="F131" s="600">
        <f t="shared" si="28"/>
        <v>95.029999999998836</v>
      </c>
      <c r="G131" s="601">
        <v>20663.03</v>
      </c>
      <c r="H131" s="19" t="s">
        <v>95</v>
      </c>
      <c r="N131" s="599" t="s">
        <v>112</v>
      </c>
      <c r="O131" s="601">
        <v>20663.03</v>
      </c>
      <c r="P131" s="606"/>
      <c r="Q131" s="511">
        <v>20663.03</v>
      </c>
      <c r="R131" s="512"/>
      <c r="U131" s="287"/>
    </row>
    <row r="132" spans="1:21" s="35" customFormat="1" ht="21.95" customHeight="1" x14ac:dyDescent="0.25">
      <c r="A132" s="485" t="e">
        <f t="shared" ref="A132:A165" si="29">A128+1</f>
        <v>#REF!</v>
      </c>
      <c r="B132" s="599" t="s">
        <v>113</v>
      </c>
      <c r="C132" s="600">
        <v>1137.02</v>
      </c>
      <c r="D132" s="601">
        <v>2943</v>
      </c>
      <c r="E132" s="600">
        <v>2423.5700000000002</v>
      </c>
      <c r="F132" s="600">
        <f t="shared" si="28"/>
        <v>-519.42999999999984</v>
      </c>
      <c r="G132" s="601">
        <v>2423.5700000000002</v>
      </c>
      <c r="H132" s="19" t="s">
        <v>95</v>
      </c>
      <c r="N132" s="599" t="s">
        <v>113</v>
      </c>
      <c r="O132" s="601">
        <v>2423.5700000000002</v>
      </c>
      <c r="P132" s="606"/>
      <c r="Q132" s="513">
        <v>2423.5700000000002</v>
      </c>
      <c r="R132" s="514"/>
      <c r="U132" s="287"/>
    </row>
    <row r="133" spans="1:21" s="35" customFormat="1" ht="30.75" customHeight="1" x14ac:dyDescent="0.25">
      <c r="A133" s="485" t="e">
        <f t="shared" si="29"/>
        <v>#REF!</v>
      </c>
      <c r="B133" s="599" t="s">
        <v>114</v>
      </c>
      <c r="C133" s="600">
        <v>16880.78</v>
      </c>
      <c r="D133" s="601">
        <v>16804</v>
      </c>
      <c r="E133" s="600">
        <v>16880.78</v>
      </c>
      <c r="F133" s="600">
        <f t="shared" si="28"/>
        <v>76.779999999998836</v>
      </c>
      <c r="G133" s="601">
        <v>16880.78</v>
      </c>
      <c r="H133" s="19" t="s">
        <v>95</v>
      </c>
      <c r="N133" s="599" t="s">
        <v>114</v>
      </c>
      <c r="O133" s="601">
        <v>16880.78</v>
      </c>
      <c r="P133" s="606"/>
      <c r="Q133" s="511">
        <v>16880.78</v>
      </c>
      <c r="R133" s="512"/>
      <c r="U133" s="287"/>
    </row>
    <row r="134" spans="1:21" s="35" customFormat="1" ht="21.95" customHeight="1" x14ac:dyDescent="0.25">
      <c r="A134" s="485" t="e">
        <f t="shared" si="29"/>
        <v>#REF!</v>
      </c>
      <c r="B134" s="599" t="s">
        <v>115</v>
      </c>
      <c r="C134" s="600">
        <v>103.29</v>
      </c>
      <c r="D134" s="601">
        <v>103</v>
      </c>
      <c r="E134" s="600">
        <v>103.29</v>
      </c>
      <c r="F134" s="600">
        <f t="shared" si="28"/>
        <v>0.29000000000000625</v>
      </c>
      <c r="G134" s="601">
        <v>103.29</v>
      </c>
      <c r="H134" s="19" t="s">
        <v>95</v>
      </c>
      <c r="N134" s="599" t="s">
        <v>115</v>
      </c>
      <c r="O134" s="601">
        <v>103.29</v>
      </c>
      <c r="P134" s="606"/>
      <c r="Q134" s="511">
        <v>103.29</v>
      </c>
      <c r="R134" s="512"/>
      <c r="U134" s="287"/>
    </row>
    <row r="135" spans="1:21" s="35" customFormat="1" ht="21.95" customHeight="1" x14ac:dyDescent="0.25">
      <c r="A135" s="485" t="e">
        <f t="shared" si="29"/>
        <v>#REF!</v>
      </c>
      <c r="B135" s="599" t="s">
        <v>116</v>
      </c>
      <c r="C135" s="600">
        <v>51.65</v>
      </c>
      <c r="D135" s="601">
        <v>52</v>
      </c>
      <c r="E135" s="600">
        <v>51.65</v>
      </c>
      <c r="F135" s="600">
        <f t="shared" si="28"/>
        <v>-0.35000000000000142</v>
      </c>
      <c r="G135" s="601">
        <v>51.65</v>
      </c>
      <c r="H135" s="19" t="s">
        <v>95</v>
      </c>
      <c r="N135" s="599" t="s">
        <v>116</v>
      </c>
      <c r="O135" s="601">
        <v>51.65</v>
      </c>
      <c r="P135" s="606"/>
      <c r="Q135" s="511">
        <v>51.65</v>
      </c>
      <c r="R135" s="512"/>
      <c r="U135" s="287"/>
    </row>
    <row r="136" spans="1:21" s="35" customFormat="1" ht="21.95" customHeight="1" x14ac:dyDescent="0.25">
      <c r="A136" s="485" t="e">
        <f t="shared" si="29"/>
        <v>#REF!</v>
      </c>
      <c r="B136" s="599" t="s">
        <v>117</v>
      </c>
      <c r="C136" s="600">
        <v>51.65</v>
      </c>
      <c r="D136" s="601">
        <v>52</v>
      </c>
      <c r="E136" s="600">
        <v>51.65</v>
      </c>
      <c r="F136" s="600">
        <f t="shared" si="28"/>
        <v>-0.35000000000000142</v>
      </c>
      <c r="G136" s="601">
        <v>51.65</v>
      </c>
      <c r="H136" s="19" t="s">
        <v>95</v>
      </c>
      <c r="N136" s="599" t="s">
        <v>117</v>
      </c>
      <c r="O136" s="601">
        <v>51.65</v>
      </c>
      <c r="P136" s="606"/>
      <c r="Q136" s="511">
        <v>51.65</v>
      </c>
      <c r="R136" s="512"/>
      <c r="U136" s="287"/>
    </row>
    <row r="137" spans="1:21" s="35" customFormat="1" ht="21.95" customHeight="1" x14ac:dyDescent="0.25">
      <c r="A137" s="485" t="e">
        <f t="shared" si="29"/>
        <v>#REF!</v>
      </c>
      <c r="B137" s="599" t="s">
        <v>118</v>
      </c>
      <c r="C137" s="600">
        <v>129.13</v>
      </c>
      <c r="D137" s="601">
        <v>129</v>
      </c>
      <c r="E137" s="600">
        <v>129.13</v>
      </c>
      <c r="F137" s="600">
        <f t="shared" si="28"/>
        <v>0.12999999999999545</v>
      </c>
      <c r="G137" s="601">
        <v>129.13</v>
      </c>
      <c r="H137" s="19" t="s">
        <v>95</v>
      </c>
      <c r="N137" s="599" t="s">
        <v>118</v>
      </c>
      <c r="O137" s="601">
        <v>129.13</v>
      </c>
      <c r="P137" s="606"/>
      <c r="Q137" s="511">
        <v>129.13</v>
      </c>
      <c r="R137" s="512"/>
      <c r="U137" s="287"/>
    </row>
    <row r="138" spans="1:21" s="35" customFormat="1" ht="21.95" customHeight="1" x14ac:dyDescent="0.25">
      <c r="A138" s="485" t="e">
        <f t="shared" si="29"/>
        <v>#REF!</v>
      </c>
      <c r="B138" s="599" t="s">
        <v>119</v>
      </c>
      <c r="C138" s="600">
        <v>4488.3599999999997</v>
      </c>
      <c r="D138" s="601">
        <v>4500</v>
      </c>
      <c r="E138" s="600">
        <v>4488.3599999999997</v>
      </c>
      <c r="F138" s="600">
        <f t="shared" si="28"/>
        <v>-11.640000000000327</v>
      </c>
      <c r="G138" s="601">
        <v>4488.3599999999997</v>
      </c>
      <c r="H138" s="19" t="s">
        <v>95</v>
      </c>
      <c r="N138" s="599" t="s">
        <v>119</v>
      </c>
      <c r="O138" s="601">
        <v>4488.3599999999997</v>
      </c>
      <c r="P138" s="606"/>
      <c r="Q138" s="511">
        <v>4488.3599999999997</v>
      </c>
      <c r="R138" s="512"/>
      <c r="U138" s="287"/>
    </row>
    <row r="139" spans="1:21" s="35" customFormat="1" ht="21.95" customHeight="1" x14ac:dyDescent="0.25">
      <c r="A139" s="485" t="e">
        <f t="shared" si="29"/>
        <v>#REF!</v>
      </c>
      <c r="B139" s="599" t="s">
        <v>120</v>
      </c>
      <c r="C139" s="600">
        <v>129.13</v>
      </c>
      <c r="D139" s="601">
        <v>129</v>
      </c>
      <c r="E139" s="600">
        <v>129.13</v>
      </c>
      <c r="F139" s="600">
        <f t="shared" si="28"/>
        <v>0.12999999999999545</v>
      </c>
      <c r="G139" s="601">
        <v>129.13</v>
      </c>
      <c r="H139" s="19" t="s">
        <v>95</v>
      </c>
      <c r="N139" s="599" t="s">
        <v>120</v>
      </c>
      <c r="O139" s="601">
        <v>129.13</v>
      </c>
      <c r="P139" s="606"/>
      <c r="Q139" s="511">
        <v>129.13</v>
      </c>
      <c r="R139" s="512"/>
      <c r="U139" s="287"/>
    </row>
    <row r="140" spans="1:21" s="35" customFormat="1" ht="21.95" customHeight="1" x14ac:dyDescent="0.25">
      <c r="A140" s="485" t="e">
        <f t="shared" si="29"/>
        <v>#REF!</v>
      </c>
      <c r="B140" s="599" t="s">
        <v>121</v>
      </c>
      <c r="C140" s="600">
        <v>129.13</v>
      </c>
      <c r="D140" s="601">
        <v>129</v>
      </c>
      <c r="E140" s="600">
        <v>129.13</v>
      </c>
      <c r="F140" s="600">
        <f t="shared" si="28"/>
        <v>0.12999999999999545</v>
      </c>
      <c r="G140" s="601">
        <v>129.13</v>
      </c>
      <c r="H140" s="19" t="s">
        <v>95</v>
      </c>
      <c r="N140" s="599" t="s">
        <v>121</v>
      </c>
      <c r="O140" s="601">
        <v>129.13</v>
      </c>
      <c r="P140" s="606"/>
      <c r="Q140" s="511">
        <v>129.13</v>
      </c>
      <c r="R140" s="512"/>
      <c r="U140" s="287"/>
    </row>
    <row r="141" spans="1:21" s="35" customFormat="1" ht="21.95" customHeight="1" x14ac:dyDescent="0.25">
      <c r="A141" s="485" t="e">
        <f t="shared" si="29"/>
        <v>#REF!</v>
      </c>
      <c r="B141" s="599" t="s">
        <v>122</v>
      </c>
      <c r="C141" s="600">
        <v>129.11000000000001</v>
      </c>
      <c r="D141" s="601">
        <v>129</v>
      </c>
      <c r="E141" s="600">
        <v>129.11000000000001</v>
      </c>
      <c r="F141" s="600">
        <f t="shared" si="28"/>
        <v>0.11000000000001364</v>
      </c>
      <c r="G141" s="601">
        <v>129.11000000000001</v>
      </c>
      <c r="H141" s="19" t="s">
        <v>95</v>
      </c>
      <c r="N141" s="599" t="s">
        <v>122</v>
      </c>
      <c r="O141" s="601">
        <v>129.11000000000001</v>
      </c>
      <c r="P141" s="606"/>
      <c r="Q141" s="511">
        <v>129.11000000000001</v>
      </c>
      <c r="R141" s="512"/>
      <c r="U141" s="287"/>
    </row>
    <row r="142" spans="1:21" s="35" customFormat="1" ht="21.95" customHeight="1" x14ac:dyDescent="0.25">
      <c r="A142" s="485" t="e">
        <f t="shared" si="29"/>
        <v>#REF!</v>
      </c>
      <c r="B142" s="599" t="s">
        <v>123</v>
      </c>
      <c r="C142" s="600">
        <v>129.11000000000001</v>
      </c>
      <c r="D142" s="601">
        <v>129</v>
      </c>
      <c r="E142" s="600">
        <v>129.11000000000001</v>
      </c>
      <c r="F142" s="600">
        <f t="shared" si="28"/>
        <v>0.11000000000001364</v>
      </c>
      <c r="G142" s="601">
        <v>129.11000000000001</v>
      </c>
      <c r="H142" s="19" t="s">
        <v>95</v>
      </c>
      <c r="N142" s="599" t="s">
        <v>123</v>
      </c>
      <c r="O142" s="601">
        <v>129.11000000000001</v>
      </c>
      <c r="P142" s="606"/>
      <c r="Q142" s="511">
        <v>129.11000000000001</v>
      </c>
      <c r="R142" s="512"/>
      <c r="U142" s="287"/>
    </row>
    <row r="143" spans="1:21" s="35" customFormat="1" ht="21.95" customHeight="1" x14ac:dyDescent="0.25">
      <c r="A143" s="485" t="e">
        <f t="shared" si="29"/>
        <v>#REF!</v>
      </c>
      <c r="B143" s="599" t="s">
        <v>124</v>
      </c>
      <c r="C143" s="600">
        <v>1991.4699999999998</v>
      </c>
      <c r="D143" s="601">
        <v>2997</v>
      </c>
      <c r="E143" s="600">
        <v>2007.23</v>
      </c>
      <c r="F143" s="600">
        <f t="shared" si="28"/>
        <v>-989.77</v>
      </c>
      <c r="G143" s="601">
        <v>2007.23</v>
      </c>
      <c r="H143" s="19" t="s">
        <v>95</v>
      </c>
      <c r="N143" s="599" t="s">
        <v>124</v>
      </c>
      <c r="O143" s="601">
        <v>2007.23</v>
      </c>
      <c r="P143" s="606"/>
      <c r="Q143" s="513">
        <v>2007.23</v>
      </c>
      <c r="R143" s="514"/>
      <c r="U143" s="287"/>
    </row>
    <row r="144" spans="1:21" s="35" customFormat="1" ht="21.95" customHeight="1" x14ac:dyDescent="0.25">
      <c r="A144" s="485" t="e">
        <f t="shared" si="29"/>
        <v>#REF!</v>
      </c>
      <c r="B144" s="599" t="s">
        <v>125</v>
      </c>
      <c r="C144" s="600">
        <v>10224.619999999999</v>
      </c>
      <c r="D144" s="601">
        <v>35371</v>
      </c>
      <c r="E144" s="600">
        <v>18693.62</v>
      </c>
      <c r="F144" s="600">
        <f t="shared" si="28"/>
        <v>-16677.38</v>
      </c>
      <c r="G144" s="601">
        <v>18693.62</v>
      </c>
      <c r="H144" s="19" t="s">
        <v>95</v>
      </c>
      <c r="N144" s="599" t="s">
        <v>125</v>
      </c>
      <c r="O144" s="601">
        <v>18693.62</v>
      </c>
      <c r="P144" s="606"/>
      <c r="Q144" s="513">
        <v>18693.62</v>
      </c>
      <c r="R144" s="514"/>
      <c r="U144" s="287"/>
    </row>
    <row r="145" spans="1:22" s="35" customFormat="1" ht="21.95" customHeight="1" x14ac:dyDescent="0.25">
      <c r="A145" s="485" t="e">
        <f t="shared" si="29"/>
        <v>#REF!</v>
      </c>
      <c r="B145" s="599" t="s">
        <v>127</v>
      </c>
      <c r="C145" s="600">
        <v>1947.8899999999999</v>
      </c>
      <c r="D145" s="601">
        <v>1853</v>
      </c>
      <c r="E145" s="600">
        <v>1216.3699999999999</v>
      </c>
      <c r="F145" s="600">
        <f t="shared" si="28"/>
        <v>-636.63000000000011</v>
      </c>
      <c r="G145" s="601">
        <v>1216.3699999999999</v>
      </c>
      <c r="H145" s="19" t="s">
        <v>95</v>
      </c>
      <c r="N145" s="599" t="s">
        <v>127</v>
      </c>
      <c r="O145" s="601">
        <v>1216.3699999999999</v>
      </c>
      <c r="P145" s="606"/>
      <c r="Q145" s="511">
        <v>1216.3699999999999</v>
      </c>
      <c r="R145" s="512"/>
      <c r="U145" s="287"/>
    </row>
    <row r="146" spans="1:22" s="35" customFormat="1" ht="21.95" customHeight="1" x14ac:dyDescent="0.25">
      <c r="A146" s="485" t="e">
        <f t="shared" si="29"/>
        <v>#REF!</v>
      </c>
      <c r="B146" s="599" t="s">
        <v>128</v>
      </c>
      <c r="C146" s="600">
        <v>2001.6100000000001</v>
      </c>
      <c r="D146" s="601">
        <v>1844</v>
      </c>
      <c r="E146" s="600">
        <v>1250.23</v>
      </c>
      <c r="F146" s="600">
        <f t="shared" si="28"/>
        <v>-593.77</v>
      </c>
      <c r="G146" s="601">
        <v>1250.23</v>
      </c>
      <c r="H146" s="19" t="s">
        <v>95</v>
      </c>
      <c r="N146" s="599" t="s">
        <v>128</v>
      </c>
      <c r="O146" s="601">
        <v>1250.23</v>
      </c>
      <c r="P146" s="606"/>
      <c r="Q146" s="511">
        <v>1250.23</v>
      </c>
      <c r="R146" s="512"/>
      <c r="U146" s="287"/>
    </row>
    <row r="147" spans="1:22" s="35" customFormat="1" ht="21.95" customHeight="1" x14ac:dyDescent="0.25">
      <c r="A147" s="485" t="e">
        <f t="shared" si="29"/>
        <v>#REF!</v>
      </c>
      <c r="B147" s="599" t="s">
        <v>129</v>
      </c>
      <c r="C147" s="600">
        <v>3403.57</v>
      </c>
      <c r="D147" s="601">
        <v>2474</v>
      </c>
      <c r="E147" s="600">
        <v>2396.4899999999998</v>
      </c>
      <c r="F147" s="600">
        <f t="shared" si="28"/>
        <v>-77.510000000000218</v>
      </c>
      <c r="G147" s="601">
        <v>2396.4899999999998</v>
      </c>
      <c r="H147" s="19" t="s">
        <v>95</v>
      </c>
      <c r="N147" s="599" t="s">
        <v>129</v>
      </c>
      <c r="O147" s="601">
        <v>2396.4899999999998</v>
      </c>
      <c r="P147" s="606"/>
      <c r="Q147" s="511">
        <v>2396.4899999999998</v>
      </c>
      <c r="R147" s="512"/>
      <c r="U147" s="287"/>
    </row>
    <row r="148" spans="1:22" s="35" customFormat="1" ht="21.95" customHeight="1" x14ac:dyDescent="0.25">
      <c r="A148" s="485" t="e">
        <f t="shared" si="29"/>
        <v>#REF!</v>
      </c>
      <c r="B148" s="599" t="s">
        <v>126</v>
      </c>
      <c r="C148" s="600">
        <v>734</v>
      </c>
      <c r="D148" s="601">
        <v>766</v>
      </c>
      <c r="E148" s="600">
        <v>702.11</v>
      </c>
      <c r="F148" s="600">
        <f t="shared" si="28"/>
        <v>-63.889999999999986</v>
      </c>
      <c r="G148" s="601">
        <v>702.11</v>
      </c>
      <c r="H148" s="19" t="s">
        <v>95</v>
      </c>
      <c r="N148" s="599" t="s">
        <v>126</v>
      </c>
      <c r="O148" s="601">
        <v>702.11</v>
      </c>
      <c r="P148" s="606"/>
      <c r="Q148" s="511">
        <v>702.11</v>
      </c>
      <c r="R148" s="512"/>
      <c r="U148" s="287"/>
    </row>
    <row r="149" spans="1:22" s="35" customFormat="1" ht="21.95" customHeight="1" x14ac:dyDescent="0.25">
      <c r="A149" s="485" t="e">
        <f t="shared" si="29"/>
        <v>#REF!</v>
      </c>
      <c r="B149" s="599" t="s">
        <v>130</v>
      </c>
      <c r="C149" s="600">
        <v>6041</v>
      </c>
      <c r="D149" s="601">
        <v>7797</v>
      </c>
      <c r="E149" s="600">
        <v>6036.8</v>
      </c>
      <c r="F149" s="600">
        <f t="shared" si="28"/>
        <v>-1760.1999999999998</v>
      </c>
      <c r="G149" s="601">
        <v>6036.8</v>
      </c>
      <c r="H149" s="19" t="s">
        <v>95</v>
      </c>
      <c r="N149" s="599" t="s">
        <v>130</v>
      </c>
      <c r="O149" s="601">
        <v>6036.8</v>
      </c>
      <c r="P149" s="606"/>
      <c r="Q149" s="511">
        <v>6036.8</v>
      </c>
      <c r="R149" s="512"/>
      <c r="U149" s="287"/>
    </row>
    <row r="150" spans="1:22" s="35" customFormat="1" ht="21.95" customHeight="1" x14ac:dyDescent="0.25">
      <c r="A150" s="485" t="e">
        <f t="shared" si="29"/>
        <v>#REF!</v>
      </c>
      <c r="B150" s="599" t="s">
        <v>131</v>
      </c>
      <c r="C150" s="600">
        <v>69</v>
      </c>
      <c r="D150" s="601">
        <v>69</v>
      </c>
      <c r="E150" s="600">
        <v>69</v>
      </c>
      <c r="F150" s="600">
        <f t="shared" si="28"/>
        <v>0</v>
      </c>
      <c r="G150" s="601">
        <v>69</v>
      </c>
      <c r="H150" s="19" t="s">
        <v>95</v>
      </c>
      <c r="N150" s="599" t="s">
        <v>131</v>
      </c>
      <c r="O150" s="601">
        <v>69</v>
      </c>
      <c r="P150" s="606"/>
      <c r="Q150" s="511">
        <v>69</v>
      </c>
      <c r="R150" s="512"/>
      <c r="U150" s="287"/>
    </row>
    <row r="151" spans="1:22" s="35" customFormat="1" ht="21.95" customHeight="1" x14ac:dyDescent="0.25">
      <c r="A151" s="485" t="e">
        <f t="shared" si="29"/>
        <v>#REF!</v>
      </c>
      <c r="B151" s="599" t="s">
        <v>132</v>
      </c>
      <c r="C151" s="600">
        <v>68.989999999999995</v>
      </c>
      <c r="D151" s="601">
        <v>69</v>
      </c>
      <c r="E151" s="600">
        <v>68.989999999999995</v>
      </c>
      <c r="F151" s="600">
        <f t="shared" si="28"/>
        <v>-1.0000000000005116E-2</v>
      </c>
      <c r="G151" s="601">
        <v>68.989999999999995</v>
      </c>
      <c r="H151" s="19" t="s">
        <v>95</v>
      </c>
      <c r="N151" s="599" t="s">
        <v>132</v>
      </c>
      <c r="O151" s="601">
        <v>68.989999999999995</v>
      </c>
      <c r="P151" s="606"/>
      <c r="Q151" s="511">
        <v>68.989999999999995</v>
      </c>
      <c r="R151" s="512"/>
      <c r="U151" s="287"/>
    </row>
    <row r="152" spans="1:22" s="35" customFormat="1" ht="21.95" customHeight="1" x14ac:dyDescent="0.25">
      <c r="A152" s="485" t="e">
        <f t="shared" si="29"/>
        <v>#REF!</v>
      </c>
      <c r="B152" s="599" t="s">
        <v>133</v>
      </c>
      <c r="C152" s="600">
        <v>1585.03</v>
      </c>
      <c r="D152" s="601">
        <v>1594</v>
      </c>
      <c r="E152" s="600">
        <v>1585.03</v>
      </c>
      <c r="F152" s="600">
        <f t="shared" si="28"/>
        <v>-8.9700000000000273</v>
      </c>
      <c r="G152" s="601">
        <v>1585.03</v>
      </c>
      <c r="H152" s="19" t="s">
        <v>95</v>
      </c>
      <c r="N152" s="599" t="s">
        <v>133</v>
      </c>
      <c r="O152" s="601">
        <v>1585.03</v>
      </c>
      <c r="P152" s="606"/>
      <c r="Q152" s="513">
        <v>1585.03</v>
      </c>
      <c r="R152" s="514"/>
      <c r="U152" s="287"/>
    </row>
    <row r="153" spans="1:22" s="35" customFormat="1" ht="21.95" customHeight="1" x14ac:dyDescent="0.25">
      <c r="A153" s="485"/>
      <c r="B153" s="599" t="s">
        <v>759</v>
      </c>
      <c r="C153" s="600">
        <v>250</v>
      </c>
      <c r="D153" s="601">
        <v>0</v>
      </c>
      <c r="E153" s="600">
        <v>343.61</v>
      </c>
      <c r="F153" s="600">
        <f t="shared" si="28"/>
        <v>343.61</v>
      </c>
      <c r="G153" s="601">
        <v>343.61</v>
      </c>
      <c r="H153" s="19" t="s">
        <v>95</v>
      </c>
      <c r="N153" s="599" t="s">
        <v>759</v>
      </c>
      <c r="O153" s="601">
        <v>343.61</v>
      </c>
      <c r="P153" s="606"/>
      <c r="Q153" s="511">
        <v>343.61</v>
      </c>
      <c r="R153" s="512"/>
      <c r="U153" s="287"/>
    </row>
    <row r="154" spans="1:22" s="458" customFormat="1" ht="21.95" customHeight="1" x14ac:dyDescent="0.25">
      <c r="A154" s="268" t="e">
        <f>A149+1</f>
        <v>#REF!</v>
      </c>
      <c r="B154" s="498" t="s">
        <v>134</v>
      </c>
      <c r="C154" s="507">
        <v>116578.41</v>
      </c>
      <c r="D154" s="508">
        <f>SUM(D128:D153)</f>
        <v>144698</v>
      </c>
      <c r="E154" s="507">
        <f>SUM(E128:E153)</f>
        <v>123790.54</v>
      </c>
      <c r="F154" s="507">
        <f>E154-D154</f>
        <v>-20907.460000000006</v>
      </c>
      <c r="G154" s="507"/>
      <c r="H154" s="353" t="s">
        <v>95</v>
      </c>
      <c r="I154" s="523"/>
      <c r="J154" s="523"/>
      <c r="K154" s="523"/>
      <c r="L154" s="523"/>
      <c r="M154" s="602">
        <f>SUM(G128:G153)</f>
        <v>123790.54</v>
      </c>
      <c r="N154" s="498" t="s">
        <v>134</v>
      </c>
      <c r="O154" s="605"/>
      <c r="P154" s="611">
        <f>SUM(O128:O153)</f>
        <v>123790.54</v>
      </c>
      <c r="Q154" s="507">
        <f>SUM(Q128:Q153)</f>
        <v>123790.54</v>
      </c>
      <c r="R154" s="509"/>
      <c r="U154" s="459"/>
    </row>
    <row r="155" spans="1:22" s="458" customFormat="1" ht="21.95" customHeight="1" x14ac:dyDescent="0.25">
      <c r="A155" s="268" t="e">
        <f>A150+1</f>
        <v>#REF!</v>
      </c>
      <c r="B155" s="295" t="s">
        <v>760</v>
      </c>
      <c r="C155" s="296">
        <v>13974.2</v>
      </c>
      <c r="D155" s="297">
        <v>10104</v>
      </c>
      <c r="E155" s="296">
        <v>8624.2000000000007</v>
      </c>
      <c r="F155" s="296">
        <f>E155-D155</f>
        <v>-1479.7999999999993</v>
      </c>
      <c r="G155" s="298">
        <v>25000</v>
      </c>
      <c r="H155" s="299" t="s">
        <v>95</v>
      </c>
      <c r="I155" s="299"/>
      <c r="J155" s="299"/>
      <c r="K155" s="299"/>
      <c r="L155" s="299"/>
      <c r="M155" s="299"/>
      <c r="N155" s="295" t="s">
        <v>760</v>
      </c>
      <c r="O155" s="535">
        <f>G155</f>
        <v>25000</v>
      </c>
      <c r="P155" s="535"/>
      <c r="Q155" s="296"/>
      <c r="R155" s="300"/>
      <c r="S155" s="458" t="s">
        <v>761</v>
      </c>
      <c r="U155" s="495">
        <v>8624</v>
      </c>
    </row>
    <row r="156" spans="1:22" s="458" customFormat="1" ht="21.95" customHeight="1" x14ac:dyDescent="0.25">
      <c r="A156" s="268" t="e">
        <f>#REF!+1</f>
        <v>#REF!</v>
      </c>
      <c r="B156" s="53" t="s">
        <v>148</v>
      </c>
      <c r="C156" s="296">
        <v>69933.5</v>
      </c>
      <c r="D156" s="297">
        <v>77836</v>
      </c>
      <c r="E156" s="296">
        <v>69933.5</v>
      </c>
      <c r="F156" s="296">
        <f>E156-D156</f>
        <v>-7902.5</v>
      </c>
      <c r="G156" s="296">
        <f>U156</f>
        <v>71316</v>
      </c>
      <c r="H156" s="19" t="s">
        <v>95</v>
      </c>
      <c r="N156" s="53" t="s">
        <v>148</v>
      </c>
      <c r="O156" s="45">
        <f>G156</f>
        <v>71316</v>
      </c>
      <c r="P156" s="45"/>
      <c r="Q156" s="296">
        <f>G156</f>
        <v>71316</v>
      </c>
      <c r="R156" s="300"/>
      <c r="S156" s="458" t="s">
        <v>786</v>
      </c>
      <c r="T156" s="496">
        <v>45291</v>
      </c>
      <c r="U156" s="495">
        <v>71316</v>
      </c>
      <c r="V156" s="458" t="s">
        <v>787</v>
      </c>
    </row>
    <row r="157" spans="1:22" s="458" customFormat="1" ht="21.95" customHeight="1" x14ac:dyDescent="0.25">
      <c r="A157" s="268" t="e">
        <f>#REF!+1</f>
        <v>#REF!</v>
      </c>
      <c r="B157" s="53" t="s">
        <v>149</v>
      </c>
      <c r="C157" s="296">
        <v>960</v>
      </c>
      <c r="D157" s="297">
        <v>960</v>
      </c>
      <c r="E157" s="296">
        <v>960</v>
      </c>
      <c r="F157" s="296">
        <f t="shared" ref="F157:F185" si="30">E157-D157</f>
        <v>0</v>
      </c>
      <c r="G157" s="296">
        <f t="shared" ref="G157:G162" si="31">E157</f>
        <v>960</v>
      </c>
      <c r="H157" s="19" t="s">
        <v>95</v>
      </c>
      <c r="N157" s="53" t="s">
        <v>149</v>
      </c>
      <c r="O157" s="45">
        <f t="shared" ref="O157:O158" si="32">G157</f>
        <v>960</v>
      </c>
      <c r="P157" s="45"/>
      <c r="Q157" s="296">
        <f>G157</f>
        <v>960</v>
      </c>
      <c r="R157" s="300"/>
      <c r="S157" s="458" t="s">
        <v>788</v>
      </c>
      <c r="T157" s="496">
        <v>45291</v>
      </c>
      <c r="U157" s="495">
        <v>960</v>
      </c>
      <c r="V157" s="458" t="s">
        <v>787</v>
      </c>
    </row>
    <row r="158" spans="1:22" s="458" customFormat="1" ht="21.95" customHeight="1" x14ac:dyDescent="0.25">
      <c r="A158" s="268" t="e">
        <f>#REF!+1</f>
        <v>#REF!</v>
      </c>
      <c r="B158" s="53" t="s">
        <v>151</v>
      </c>
      <c r="C158" s="296">
        <v>86.55</v>
      </c>
      <c r="D158" s="297">
        <v>127</v>
      </c>
      <c r="E158" s="296">
        <v>79.849999999999994</v>
      </c>
      <c r="F158" s="296">
        <f t="shared" si="30"/>
        <v>-47.150000000000006</v>
      </c>
      <c r="G158" s="296">
        <f t="shared" si="31"/>
        <v>79.849999999999994</v>
      </c>
      <c r="H158" s="19" t="s">
        <v>95</v>
      </c>
      <c r="N158" s="53" t="s">
        <v>151</v>
      </c>
      <c r="O158" s="45">
        <f t="shared" si="32"/>
        <v>79.849999999999994</v>
      </c>
      <c r="P158" s="45"/>
      <c r="Q158" s="296">
        <f>G158</f>
        <v>79.849999999999994</v>
      </c>
      <c r="R158" s="300"/>
      <c r="U158" s="459"/>
    </row>
    <row r="159" spans="1:22" s="458" customFormat="1" ht="21.95" customHeight="1" x14ac:dyDescent="0.25">
      <c r="A159" s="268" t="e">
        <f>A157+1</f>
        <v>#REF!</v>
      </c>
      <c r="B159" s="53" t="s">
        <v>153</v>
      </c>
      <c r="C159" s="296">
        <v>347</v>
      </c>
      <c r="D159" s="297">
        <v>0</v>
      </c>
      <c r="E159" s="296">
        <v>520</v>
      </c>
      <c r="F159" s="296">
        <f t="shared" si="30"/>
        <v>520</v>
      </c>
      <c r="G159" s="296">
        <f t="shared" si="31"/>
        <v>520</v>
      </c>
      <c r="H159" s="19" t="s">
        <v>95</v>
      </c>
      <c r="N159" s="53" t="s">
        <v>153</v>
      </c>
      <c r="O159" s="45">
        <f>K159</f>
        <v>0</v>
      </c>
      <c r="P159" s="45"/>
      <c r="Q159" s="515">
        <f>L159</f>
        <v>0</v>
      </c>
      <c r="R159" s="517"/>
      <c r="U159" s="459"/>
    </row>
    <row r="160" spans="1:22" s="458" customFormat="1" ht="21.95" customHeight="1" x14ac:dyDescent="0.25">
      <c r="A160" s="268" t="e">
        <f>#REF!+1</f>
        <v>#REF!</v>
      </c>
      <c r="B160" s="53" t="s">
        <v>154</v>
      </c>
      <c r="C160" s="296">
        <v>1250</v>
      </c>
      <c r="D160" s="297">
        <v>9333</v>
      </c>
      <c r="E160" s="296">
        <v>1250</v>
      </c>
      <c r="F160" s="296">
        <f t="shared" si="30"/>
        <v>-8083</v>
      </c>
      <c r="G160" s="296">
        <f t="shared" si="31"/>
        <v>1250</v>
      </c>
      <c r="H160" s="19" t="s">
        <v>95</v>
      </c>
      <c r="N160" s="53" t="s">
        <v>154</v>
      </c>
      <c r="O160" s="45">
        <f>K160</f>
        <v>0</v>
      </c>
      <c r="P160" s="45"/>
      <c r="Q160" s="296">
        <f>L160</f>
        <v>0</v>
      </c>
      <c r="R160" s="300"/>
      <c r="U160" s="459"/>
    </row>
    <row r="161" spans="1:23" s="458" customFormat="1" ht="21.95" customHeight="1" x14ac:dyDescent="0.25">
      <c r="A161" s="268" t="e">
        <f>#REF!+1</f>
        <v>#REF!</v>
      </c>
      <c r="B161" s="53" t="s">
        <v>156</v>
      </c>
      <c r="C161" s="296">
        <v>1502.3000000000002</v>
      </c>
      <c r="D161" s="297">
        <v>4680</v>
      </c>
      <c r="E161" s="296">
        <v>3493.15</v>
      </c>
      <c r="F161" s="296">
        <f t="shared" si="30"/>
        <v>-1186.8499999999999</v>
      </c>
      <c r="G161" s="296">
        <v>2000</v>
      </c>
      <c r="H161" s="458" t="s">
        <v>789</v>
      </c>
      <c r="N161" s="53" t="s">
        <v>156</v>
      </c>
      <c r="O161" s="45">
        <f>G161</f>
        <v>2000</v>
      </c>
      <c r="P161" s="45"/>
      <c r="Q161" s="515">
        <f>G161</f>
        <v>2000</v>
      </c>
      <c r="R161" s="517"/>
      <c r="S161" s="19" t="s">
        <v>790</v>
      </c>
      <c r="T161" s="496">
        <v>44561</v>
      </c>
      <c r="U161" s="495">
        <v>1500</v>
      </c>
    </row>
    <row r="162" spans="1:23" s="458" customFormat="1" ht="21.95" customHeight="1" x14ac:dyDescent="0.25">
      <c r="A162" s="268" t="e">
        <f>A159+1</f>
        <v>#REF!</v>
      </c>
      <c r="B162" s="53" t="s">
        <v>157</v>
      </c>
      <c r="C162" s="296">
        <v>6370.1</v>
      </c>
      <c r="D162" s="297">
        <v>13523</v>
      </c>
      <c r="E162" s="296">
        <v>7094.05</v>
      </c>
      <c r="F162" s="296">
        <f t="shared" si="30"/>
        <v>-6428.95</v>
      </c>
      <c r="G162" s="296">
        <f t="shared" si="31"/>
        <v>7094.05</v>
      </c>
      <c r="H162" s="458" t="s">
        <v>791</v>
      </c>
      <c r="N162" s="53" t="s">
        <v>157</v>
      </c>
      <c r="O162" s="45">
        <f t="shared" ref="O162:O164" si="33">G162</f>
        <v>7094.05</v>
      </c>
      <c r="P162" s="45"/>
      <c r="Q162" s="515">
        <f t="shared" ref="Q162:Q164" si="34">G162</f>
        <v>7094.05</v>
      </c>
      <c r="R162" s="517"/>
      <c r="S162" s="458" t="s">
        <v>792</v>
      </c>
      <c r="T162" s="496" t="s">
        <v>793</v>
      </c>
      <c r="U162" s="495">
        <f>1450+5200</f>
        <v>6650</v>
      </c>
      <c r="V162" s="458" t="s">
        <v>794</v>
      </c>
    </row>
    <row r="163" spans="1:23" s="458" customFormat="1" ht="21.95" customHeight="1" x14ac:dyDescent="0.25">
      <c r="A163" s="268" t="e">
        <f>A160+1</f>
        <v>#REF!</v>
      </c>
      <c r="B163" s="53" t="s">
        <v>158</v>
      </c>
      <c r="C163" s="296">
        <v>4247.88</v>
      </c>
      <c r="D163" s="297">
        <v>6760</v>
      </c>
      <c r="E163" s="296">
        <v>4341.05</v>
      </c>
      <c r="F163" s="296">
        <f t="shared" si="30"/>
        <v>-2418.9499999999998</v>
      </c>
      <c r="G163" s="296">
        <v>9920</v>
      </c>
      <c r="H163" s="458" t="s">
        <v>795</v>
      </c>
      <c r="I163" s="458">
        <f>8000+8000*24%</f>
        <v>9920</v>
      </c>
      <c r="N163" s="53" t="s">
        <v>158</v>
      </c>
      <c r="O163" s="45">
        <f t="shared" si="33"/>
        <v>9920</v>
      </c>
      <c r="P163" s="45"/>
      <c r="Q163" s="515">
        <f t="shared" si="34"/>
        <v>9920</v>
      </c>
      <c r="R163" s="517"/>
      <c r="S163" s="458" t="s">
        <v>796</v>
      </c>
      <c r="T163" s="496">
        <v>45291</v>
      </c>
      <c r="U163" s="502">
        <f>(5760/365*269+1842.88)/2</f>
        <v>3043.9605479452052</v>
      </c>
    </row>
    <row r="164" spans="1:23" s="458" customFormat="1" ht="21.95" customHeight="1" x14ac:dyDescent="0.25">
      <c r="A164" s="268" t="e">
        <f>#REF!+1</f>
        <v>#REF!</v>
      </c>
      <c r="B164" s="53" t="s">
        <v>159</v>
      </c>
      <c r="C164" s="296">
        <v>5200</v>
      </c>
      <c r="D164" s="297">
        <v>2080</v>
      </c>
      <c r="E164" s="296">
        <v>5200</v>
      </c>
      <c r="F164" s="296">
        <f t="shared" si="30"/>
        <v>3120</v>
      </c>
      <c r="G164" s="296">
        <f>E164</f>
        <v>5200</v>
      </c>
      <c r="H164" s="458" t="s">
        <v>797</v>
      </c>
      <c r="N164" s="53" t="s">
        <v>159</v>
      </c>
      <c r="O164" s="45">
        <f t="shared" si="33"/>
        <v>5200</v>
      </c>
      <c r="P164" s="45"/>
      <c r="Q164" s="515">
        <f t="shared" si="34"/>
        <v>5200</v>
      </c>
      <c r="R164" s="517"/>
      <c r="S164" s="458" t="s">
        <v>798</v>
      </c>
      <c r="T164" s="496">
        <v>44561</v>
      </c>
      <c r="U164" s="495">
        <v>5200</v>
      </c>
    </row>
    <row r="165" spans="1:23" s="458" customFormat="1" ht="21.95" customHeight="1" x14ac:dyDescent="0.25">
      <c r="A165" s="268" t="e">
        <f t="shared" si="29"/>
        <v>#REF!</v>
      </c>
      <c r="B165" s="53" t="s">
        <v>160</v>
      </c>
      <c r="C165" s="296">
        <v>4948.08</v>
      </c>
      <c r="D165" s="297">
        <v>9896</v>
      </c>
      <c r="E165" s="296">
        <v>4948.08</v>
      </c>
      <c r="F165" s="296">
        <f t="shared" si="30"/>
        <v>-4947.92</v>
      </c>
      <c r="G165" s="296">
        <v>0</v>
      </c>
      <c r="H165" s="458" t="s">
        <v>799</v>
      </c>
      <c r="N165" s="53" t="s">
        <v>160</v>
      </c>
      <c r="O165" s="45">
        <v>0</v>
      </c>
      <c r="P165" s="45"/>
      <c r="Q165" s="296">
        <v>0</v>
      </c>
      <c r="R165" s="300"/>
      <c r="S165" s="458" t="s">
        <v>800</v>
      </c>
      <c r="T165" s="496">
        <v>44377</v>
      </c>
      <c r="U165" s="518" t="s">
        <v>801</v>
      </c>
    </row>
    <row r="166" spans="1:23" s="458" customFormat="1" ht="21.95" customHeight="1" x14ac:dyDescent="0.25">
      <c r="A166" s="268" t="e">
        <f t="shared" ref="A166:A167" si="35">A162+1</f>
        <v>#REF!</v>
      </c>
      <c r="B166" s="53" t="s">
        <v>161</v>
      </c>
      <c r="C166" s="296">
        <v>3380</v>
      </c>
      <c r="D166" s="297">
        <v>6760</v>
      </c>
      <c r="E166" s="296">
        <v>3380</v>
      </c>
      <c r="F166" s="296">
        <f t="shared" si="30"/>
        <v>-3380</v>
      </c>
      <c r="G166" s="296">
        <f t="shared" ref="G166:G170" si="36">E166</f>
        <v>3380</v>
      </c>
      <c r="H166" s="458" t="s">
        <v>95</v>
      </c>
      <c r="N166" s="53" t="s">
        <v>161</v>
      </c>
      <c r="O166" s="45">
        <f>G166</f>
        <v>3380</v>
      </c>
      <c r="P166" s="45"/>
      <c r="Q166" s="515">
        <f>G166</f>
        <v>3380</v>
      </c>
      <c r="R166" s="517"/>
      <c r="S166" s="458" t="s">
        <v>802</v>
      </c>
      <c r="T166" s="496">
        <v>44464</v>
      </c>
      <c r="U166" s="495">
        <v>3380</v>
      </c>
    </row>
    <row r="167" spans="1:23" s="458" customFormat="1" ht="21.95" customHeight="1" x14ac:dyDescent="0.25">
      <c r="A167" s="268" t="e">
        <f t="shared" si="35"/>
        <v>#REF!</v>
      </c>
      <c r="B167" s="53" t="s">
        <v>162</v>
      </c>
      <c r="C167" s="296">
        <v>1050</v>
      </c>
      <c r="D167" s="297">
        <v>1504</v>
      </c>
      <c r="E167" s="296">
        <v>1050.94</v>
      </c>
      <c r="F167" s="296">
        <f t="shared" si="30"/>
        <v>-453.05999999999995</v>
      </c>
      <c r="G167" s="296">
        <f t="shared" si="36"/>
        <v>1050.94</v>
      </c>
      <c r="H167" s="458" t="s">
        <v>95</v>
      </c>
      <c r="N167" s="53" t="s">
        <v>162</v>
      </c>
      <c r="O167" s="45">
        <f>G167</f>
        <v>1050.94</v>
      </c>
      <c r="P167" s="45"/>
      <c r="Q167" s="515">
        <f>G167</f>
        <v>1050.94</v>
      </c>
      <c r="R167" s="517"/>
      <c r="S167" s="458" t="s">
        <v>803</v>
      </c>
      <c r="T167" s="496">
        <v>44592</v>
      </c>
      <c r="U167" s="459"/>
    </row>
    <row r="168" spans="1:23" s="458" customFormat="1" ht="21.95" customHeight="1" x14ac:dyDescent="0.25">
      <c r="A168" s="268"/>
      <c r="B168" s="53"/>
      <c r="C168" s="296"/>
      <c r="D168" s="297"/>
      <c r="E168" s="296"/>
      <c r="F168" s="296"/>
      <c r="G168" s="296"/>
      <c r="H168" s="19"/>
      <c r="N168" s="53"/>
      <c r="O168" s="45"/>
      <c r="P168" s="45"/>
      <c r="Q168" s="515"/>
      <c r="R168" s="517"/>
      <c r="U168" s="459"/>
    </row>
    <row r="169" spans="1:23" s="458" customFormat="1" ht="21.95" customHeight="1" x14ac:dyDescent="0.25">
      <c r="A169" s="268" t="e">
        <f>#REF!+1</f>
        <v>#REF!</v>
      </c>
      <c r="B169" s="568" t="s">
        <v>166</v>
      </c>
      <c r="C169" s="569">
        <v>5724.92</v>
      </c>
      <c r="D169" s="570">
        <v>13599</v>
      </c>
      <c r="E169" s="569">
        <v>5723.96</v>
      </c>
      <c r="F169" s="569">
        <f t="shared" si="30"/>
        <v>-7875.04</v>
      </c>
      <c r="G169" s="569">
        <f t="shared" si="36"/>
        <v>5723.96</v>
      </c>
      <c r="H169" s="458" t="s">
        <v>806</v>
      </c>
      <c r="N169" s="568" t="s">
        <v>166</v>
      </c>
      <c r="O169" s="537">
        <f t="shared" ref="O169" si="37">G169</f>
        <v>5723.96</v>
      </c>
      <c r="P169" s="45"/>
      <c r="Q169" s="515">
        <f>G169</f>
        <v>5723.96</v>
      </c>
      <c r="R169" s="517"/>
      <c r="S169" s="458" t="s">
        <v>807</v>
      </c>
      <c r="T169" s="496">
        <v>44773</v>
      </c>
      <c r="U169" s="495">
        <v>5725</v>
      </c>
    </row>
    <row r="170" spans="1:23" s="497" customFormat="1" ht="21.95" customHeight="1" x14ac:dyDescent="0.25">
      <c r="A170" s="268" t="e">
        <f>#REF!+1</f>
        <v>#REF!</v>
      </c>
      <c r="B170" s="568" t="s">
        <v>167</v>
      </c>
      <c r="C170" s="569">
        <v>745.87</v>
      </c>
      <c r="D170" s="570">
        <v>7425</v>
      </c>
      <c r="E170" s="569">
        <v>892.52</v>
      </c>
      <c r="F170" s="569">
        <f t="shared" si="30"/>
        <v>-6532.48</v>
      </c>
      <c r="G170" s="569">
        <f t="shared" si="36"/>
        <v>892.52</v>
      </c>
      <c r="H170" s="43" t="s">
        <v>95</v>
      </c>
      <c r="N170" s="568" t="s">
        <v>167</v>
      </c>
      <c r="O170" s="537">
        <f>K170</f>
        <v>0</v>
      </c>
      <c r="P170" s="569">
        <f>SUM(O169:O170)</f>
        <v>5723.96</v>
      </c>
      <c r="Q170" s="296">
        <f>L170</f>
        <v>0</v>
      </c>
      <c r="R170" s="300"/>
      <c r="U170" s="504"/>
      <c r="V170" s="458"/>
      <c r="W170" s="458"/>
    </row>
    <row r="171" spans="1:23" s="497" customFormat="1" ht="21.95" customHeight="1" x14ac:dyDescent="0.25">
      <c r="A171" s="268"/>
      <c r="B171" s="53"/>
      <c r="C171" s="296"/>
      <c r="D171" s="297"/>
      <c r="E171" s="296"/>
      <c r="F171" s="296"/>
      <c r="G171" s="296"/>
      <c r="H171" s="43"/>
      <c r="M171" s="558">
        <f>SUM(G169+G170)</f>
        <v>6616.48</v>
      </c>
      <c r="N171" s="53"/>
      <c r="O171" s="45"/>
      <c r="P171" s="45"/>
      <c r="Q171" s="296"/>
      <c r="R171" s="300"/>
      <c r="U171" s="504"/>
      <c r="V171" s="458"/>
      <c r="W171" s="458"/>
    </row>
    <row r="172" spans="1:23" s="458" customFormat="1" ht="21.95" customHeight="1" x14ac:dyDescent="0.25">
      <c r="A172" s="268" t="e">
        <f>#REF!+1</f>
        <v>#REF!</v>
      </c>
      <c r="B172" s="53" t="s">
        <v>168</v>
      </c>
      <c r="C172" s="296">
        <v>32166.280000000006</v>
      </c>
      <c r="D172" s="297">
        <v>38767</v>
      </c>
      <c r="E172" s="296">
        <v>29403.84</v>
      </c>
      <c r="F172" s="296">
        <f t="shared" si="30"/>
        <v>-9363.16</v>
      </c>
      <c r="G172" s="296">
        <v>50000</v>
      </c>
      <c r="H172" s="458" t="s">
        <v>808</v>
      </c>
      <c r="N172" s="53" t="s">
        <v>168</v>
      </c>
      <c r="O172" s="45">
        <f>G172</f>
        <v>50000</v>
      </c>
      <c r="P172" s="45"/>
      <c r="Q172" s="515">
        <f>G172</f>
        <v>50000</v>
      </c>
      <c r="R172" s="517"/>
      <c r="S172" s="497"/>
      <c r="T172" s="497"/>
      <c r="U172" s="504"/>
      <c r="V172" s="497"/>
      <c r="W172" s="497"/>
    </row>
    <row r="173" spans="1:23" s="458" customFormat="1" ht="21.95" customHeight="1" x14ac:dyDescent="0.25">
      <c r="A173" s="268" t="e">
        <f>A169+1</f>
        <v>#REF!</v>
      </c>
      <c r="B173" s="53" t="s">
        <v>170</v>
      </c>
      <c r="C173" s="296">
        <v>848.36</v>
      </c>
      <c r="D173" s="297">
        <v>1385</v>
      </c>
      <c r="E173" s="296">
        <v>698.36</v>
      </c>
      <c r="F173" s="296">
        <f t="shared" si="30"/>
        <v>-686.64</v>
      </c>
      <c r="G173" s="296">
        <f>E173</f>
        <v>698.36</v>
      </c>
      <c r="H173" s="19" t="s">
        <v>95</v>
      </c>
      <c r="N173" s="53" t="s">
        <v>170</v>
      </c>
      <c r="O173" s="45">
        <f t="shared" ref="O173:O179" si="38">G173</f>
        <v>698.36</v>
      </c>
      <c r="P173" s="45"/>
      <c r="Q173" s="296">
        <f t="shared" ref="Q173:Q180" si="39">G173</f>
        <v>698.36</v>
      </c>
      <c r="R173" s="300"/>
      <c r="S173" s="458" t="s">
        <v>809</v>
      </c>
      <c r="T173" s="496">
        <v>44561</v>
      </c>
      <c r="U173" s="459">
        <v>500</v>
      </c>
    </row>
    <row r="174" spans="1:23" s="458" customFormat="1" ht="21.95" customHeight="1" x14ac:dyDescent="0.25">
      <c r="A174" s="268" t="e">
        <f>A170+1</f>
        <v>#REF!</v>
      </c>
      <c r="B174" s="53" t="s">
        <v>171</v>
      </c>
      <c r="C174" s="296">
        <v>0</v>
      </c>
      <c r="D174" s="297">
        <v>0</v>
      </c>
      <c r="E174" s="296">
        <v>0</v>
      </c>
      <c r="F174" s="296">
        <f t="shared" si="30"/>
        <v>0</v>
      </c>
      <c r="G174" s="296">
        <f>E174</f>
        <v>0</v>
      </c>
      <c r="H174" s="19" t="s">
        <v>95</v>
      </c>
      <c r="N174" s="53" t="s">
        <v>171</v>
      </c>
      <c r="O174" s="45">
        <f t="shared" si="38"/>
        <v>0</v>
      </c>
      <c r="P174" s="45"/>
      <c r="Q174" s="296">
        <f t="shared" si="39"/>
        <v>0</v>
      </c>
      <c r="R174" s="300"/>
      <c r="U174" s="459"/>
    </row>
    <row r="175" spans="1:23" s="458" customFormat="1" ht="21.95" customHeight="1" x14ac:dyDescent="0.25">
      <c r="A175" s="268" t="e">
        <f>A172+1</f>
        <v>#REF!</v>
      </c>
      <c r="B175" s="53" t="s">
        <v>172</v>
      </c>
      <c r="C175" s="296">
        <v>900</v>
      </c>
      <c r="D175" s="297">
        <v>18988</v>
      </c>
      <c r="E175" s="296">
        <v>1000</v>
      </c>
      <c r="F175" s="296">
        <f t="shared" si="30"/>
        <v>-17988</v>
      </c>
      <c r="G175" s="296">
        <f>E175</f>
        <v>1000</v>
      </c>
      <c r="H175" s="19" t="s">
        <v>95</v>
      </c>
      <c r="N175" s="53" t="s">
        <v>172</v>
      </c>
      <c r="O175" s="45">
        <f t="shared" si="38"/>
        <v>1000</v>
      </c>
      <c r="P175" s="45"/>
      <c r="Q175" s="296">
        <f t="shared" si="39"/>
        <v>1000</v>
      </c>
      <c r="R175" s="300"/>
      <c r="S175" s="458" t="s">
        <v>810</v>
      </c>
      <c r="U175" s="459">
        <v>1000</v>
      </c>
    </row>
    <row r="176" spans="1:23" s="458" customFormat="1" ht="21.95" customHeight="1" x14ac:dyDescent="0.25">
      <c r="A176" s="268" t="e">
        <f>A179+1</f>
        <v>#REF!</v>
      </c>
      <c r="B176" s="53" t="s">
        <v>177</v>
      </c>
      <c r="C176" s="296">
        <v>7539.8</v>
      </c>
      <c r="D176" s="297">
        <v>10108</v>
      </c>
      <c r="E176" s="296">
        <v>7476.56</v>
      </c>
      <c r="F176" s="296">
        <f>E176-D176</f>
        <v>-2631.4399999999996</v>
      </c>
      <c r="G176" s="296">
        <f>E176+2000</f>
        <v>9476.5600000000013</v>
      </c>
      <c r="H176" s="458" t="s">
        <v>817</v>
      </c>
      <c r="N176" s="53" t="s">
        <v>177</v>
      </c>
      <c r="O176" s="45">
        <f>G176</f>
        <v>9476.5600000000013</v>
      </c>
      <c r="P176" s="45"/>
      <c r="Q176" s="515">
        <f>G176</f>
        <v>9476.5600000000013</v>
      </c>
      <c r="R176" s="517"/>
      <c r="S176" s="458" t="s">
        <v>818</v>
      </c>
      <c r="T176" s="496">
        <v>44561</v>
      </c>
      <c r="U176" s="495">
        <f>7476.56/26*28</f>
        <v>8051.68</v>
      </c>
    </row>
    <row r="177" spans="1:22" s="458" customFormat="1" ht="21.95" customHeight="1" x14ac:dyDescent="0.25">
      <c r="A177" s="268" t="e">
        <f>A182+1</f>
        <v>#REF!</v>
      </c>
      <c r="B177" s="53" t="s">
        <v>179</v>
      </c>
      <c r="C177" s="296">
        <v>2022</v>
      </c>
      <c r="D177" s="297">
        <v>3284</v>
      </c>
      <c r="E177" s="296">
        <v>1792</v>
      </c>
      <c r="F177" s="296">
        <f>E177-D177</f>
        <v>-1492</v>
      </c>
      <c r="G177" s="296">
        <f>E177</f>
        <v>1792</v>
      </c>
      <c r="H177" s="19" t="s">
        <v>95</v>
      </c>
      <c r="N177" s="53" t="s">
        <v>179</v>
      </c>
      <c r="O177" s="45">
        <f>E177</f>
        <v>1792</v>
      </c>
      <c r="P177" s="45"/>
      <c r="Q177" s="515">
        <f>G177</f>
        <v>1792</v>
      </c>
      <c r="R177" s="517"/>
      <c r="S177" s="458" t="s">
        <v>820</v>
      </c>
      <c r="T177" s="496">
        <v>44592</v>
      </c>
      <c r="U177" s="495">
        <v>2000</v>
      </c>
      <c r="V177" s="458" t="s">
        <v>787</v>
      </c>
    </row>
    <row r="178" spans="1:22" s="458" customFormat="1" ht="21.95" customHeight="1" x14ac:dyDescent="0.25">
      <c r="A178" s="268"/>
      <c r="B178" s="53"/>
      <c r="C178" s="296"/>
      <c r="D178" s="297"/>
      <c r="E178" s="296"/>
      <c r="F178" s="296"/>
      <c r="G178" s="296"/>
      <c r="H178" s="19"/>
      <c r="N178" s="53"/>
      <c r="O178" s="45"/>
      <c r="P178" s="45"/>
      <c r="Q178" s="515"/>
      <c r="R178" s="517"/>
      <c r="T178" s="496"/>
      <c r="U178" s="495"/>
    </row>
    <row r="179" spans="1:22" s="458" customFormat="1" ht="21.95" customHeight="1" x14ac:dyDescent="0.25">
      <c r="A179" s="268" t="e">
        <f>#REF!+1</f>
        <v>#REF!</v>
      </c>
      <c r="B179" s="551" t="s">
        <v>173</v>
      </c>
      <c r="C179" s="537">
        <v>1058.7850000000001</v>
      </c>
      <c r="D179" s="538">
        <v>997</v>
      </c>
      <c r="E179" s="537">
        <v>3374.94</v>
      </c>
      <c r="F179" s="537">
        <f t="shared" si="30"/>
        <v>2377.94</v>
      </c>
      <c r="G179" s="537">
        <f>E179</f>
        <v>3374.94</v>
      </c>
      <c r="H179" s="19" t="s">
        <v>95</v>
      </c>
      <c r="N179" s="551" t="s">
        <v>173</v>
      </c>
      <c r="O179" s="537">
        <f t="shared" si="38"/>
        <v>3374.94</v>
      </c>
      <c r="P179" s="45"/>
      <c r="Q179" s="296">
        <f t="shared" si="39"/>
        <v>3374.94</v>
      </c>
      <c r="R179" s="300"/>
      <c r="S179" s="458" t="s">
        <v>811</v>
      </c>
      <c r="U179" s="459"/>
    </row>
    <row r="180" spans="1:22" s="458" customFormat="1" ht="21.95" customHeight="1" x14ac:dyDescent="0.25">
      <c r="A180" s="268"/>
      <c r="B180" s="551" t="s">
        <v>812</v>
      </c>
      <c r="C180" s="537"/>
      <c r="D180" s="538"/>
      <c r="E180" s="537">
        <v>49320</v>
      </c>
      <c r="F180" s="537"/>
      <c r="G180" s="537"/>
      <c r="H180" s="19"/>
      <c r="N180" s="551" t="s">
        <v>812</v>
      </c>
      <c r="O180" s="537"/>
      <c r="P180" s="45"/>
      <c r="Q180" s="296">
        <f t="shared" si="39"/>
        <v>0</v>
      </c>
      <c r="R180" s="300"/>
      <c r="U180" s="459"/>
    </row>
    <row r="181" spans="1:22" s="458" customFormat="1" ht="21.95" customHeight="1" x14ac:dyDescent="0.25">
      <c r="A181" s="268" t="e">
        <f>A173+1</f>
        <v>#REF!</v>
      </c>
      <c r="B181" s="551" t="s">
        <v>174</v>
      </c>
      <c r="C181" s="537">
        <v>0</v>
      </c>
      <c r="D181" s="538">
        <v>13558</v>
      </c>
      <c r="E181" s="537">
        <v>0</v>
      </c>
      <c r="F181" s="537">
        <f t="shared" si="30"/>
        <v>-13558</v>
      </c>
      <c r="G181" s="537"/>
      <c r="H181" s="497" t="s">
        <v>813</v>
      </c>
      <c r="I181" s="497"/>
      <c r="J181" s="497"/>
      <c r="K181" s="497"/>
      <c r="L181" s="497"/>
      <c r="M181" s="497"/>
      <c r="N181" s="551" t="s">
        <v>174</v>
      </c>
      <c r="O181" s="537"/>
      <c r="P181" s="45"/>
      <c r="Q181" s="296"/>
      <c r="R181" s="300"/>
      <c r="U181" s="459"/>
    </row>
    <row r="182" spans="1:22" s="458" customFormat="1" ht="21.95" customHeight="1" x14ac:dyDescent="0.25">
      <c r="A182" s="268" t="e">
        <f>A174+1</f>
        <v>#REF!</v>
      </c>
      <c r="B182" s="551" t="s">
        <v>175</v>
      </c>
      <c r="C182" s="537">
        <v>3150</v>
      </c>
      <c r="D182" s="538">
        <v>1500</v>
      </c>
      <c r="E182" s="537">
        <v>3370</v>
      </c>
      <c r="F182" s="537">
        <f t="shared" si="30"/>
        <v>1870</v>
      </c>
      <c r="G182" s="537">
        <f>E182</f>
        <v>3370</v>
      </c>
      <c r="H182" s="19" t="s">
        <v>95</v>
      </c>
      <c r="N182" s="551" t="s">
        <v>175</v>
      </c>
      <c r="O182" s="537">
        <f>G182</f>
        <v>3370</v>
      </c>
      <c r="P182" s="45"/>
      <c r="Q182" s="296">
        <f>G182</f>
        <v>3370</v>
      </c>
      <c r="R182" s="300"/>
      <c r="S182" s="458" t="s">
        <v>814</v>
      </c>
      <c r="T182" s="496">
        <v>44782</v>
      </c>
      <c r="U182" s="495">
        <v>3150</v>
      </c>
    </row>
    <row r="183" spans="1:22" s="458" customFormat="1" ht="21.95" customHeight="1" x14ac:dyDescent="0.25">
      <c r="A183" s="268" t="e">
        <f>A175+1</f>
        <v>#REF!</v>
      </c>
      <c r="B183" s="551" t="s">
        <v>176</v>
      </c>
      <c r="C183" s="537">
        <v>3711.0699999999997</v>
      </c>
      <c r="D183" s="538">
        <v>3233</v>
      </c>
      <c r="E183" s="537">
        <v>4008.88</v>
      </c>
      <c r="F183" s="537">
        <f t="shared" si="30"/>
        <v>775.88000000000011</v>
      </c>
      <c r="G183" s="537">
        <f>E183</f>
        <v>4008.88</v>
      </c>
      <c r="H183" s="19" t="s">
        <v>95</v>
      </c>
      <c r="N183" s="551" t="s">
        <v>176</v>
      </c>
      <c r="O183" s="537">
        <f>G183</f>
        <v>4008.88</v>
      </c>
      <c r="P183" s="45"/>
      <c r="Q183" s="296">
        <f>G183</f>
        <v>4008.88</v>
      </c>
      <c r="R183" s="300"/>
      <c r="S183" s="458" t="s">
        <v>815</v>
      </c>
      <c r="T183" s="496">
        <v>44408</v>
      </c>
      <c r="U183" s="495">
        <f>(798.5+50)*4+500</f>
        <v>3894</v>
      </c>
      <c r="V183" s="458" t="s">
        <v>816</v>
      </c>
    </row>
    <row r="184" spans="1:22" s="458" customFormat="1" ht="21.95" customHeight="1" x14ac:dyDescent="0.25">
      <c r="A184" s="268" t="e">
        <f>A181+1</f>
        <v>#REF!</v>
      </c>
      <c r="B184" s="551" t="s">
        <v>178</v>
      </c>
      <c r="C184" s="537">
        <v>0</v>
      </c>
      <c r="D184" s="538">
        <v>1394</v>
      </c>
      <c r="E184" s="537">
        <v>0</v>
      </c>
      <c r="F184" s="537">
        <f t="shared" si="30"/>
        <v>-1394</v>
      </c>
      <c r="G184" s="537"/>
      <c r="H184" s="458" t="s">
        <v>819</v>
      </c>
      <c r="N184" s="551" t="s">
        <v>178</v>
      </c>
      <c r="O184" s="537"/>
      <c r="P184" s="45"/>
      <c r="Q184" s="296"/>
      <c r="R184" s="300"/>
      <c r="U184" s="459"/>
    </row>
    <row r="185" spans="1:22" s="458" customFormat="1" ht="21.95" customHeight="1" x14ac:dyDescent="0.25">
      <c r="A185" s="268" t="e">
        <f>A183+1</f>
        <v>#REF!</v>
      </c>
      <c r="B185" s="551" t="s">
        <v>821</v>
      </c>
      <c r="C185" s="537">
        <v>6942.5</v>
      </c>
      <c r="D185" s="538">
        <v>0</v>
      </c>
      <c r="E185" s="537">
        <v>6942.5</v>
      </c>
      <c r="F185" s="537">
        <f t="shared" si="30"/>
        <v>6942.5</v>
      </c>
      <c r="G185" s="537">
        <v>1500</v>
      </c>
      <c r="H185" s="19" t="s">
        <v>95</v>
      </c>
      <c r="N185" s="551" t="s">
        <v>821</v>
      </c>
      <c r="O185" s="537">
        <v>1500</v>
      </c>
      <c r="P185" s="45"/>
      <c r="Q185" s="296">
        <v>1500</v>
      </c>
      <c r="R185" s="300"/>
      <c r="S185" s="458" t="s">
        <v>822</v>
      </c>
      <c r="T185" s="496">
        <v>44561</v>
      </c>
      <c r="U185" s="495">
        <v>6943</v>
      </c>
      <c r="V185" s="458" t="s">
        <v>823</v>
      </c>
    </row>
    <row r="186" spans="1:22" s="458" customFormat="1" ht="21.95" customHeight="1" x14ac:dyDescent="0.25">
      <c r="A186" s="268"/>
      <c r="B186" s="554" t="s">
        <v>833</v>
      </c>
      <c r="C186" s="564"/>
      <c r="D186" s="565"/>
      <c r="E186" s="564"/>
      <c r="F186" s="537">
        <f>E186-D186</f>
        <v>0</v>
      </c>
      <c r="G186" s="564">
        <f>60000+30000</f>
        <v>90000</v>
      </c>
      <c r="H186" s="19"/>
      <c r="M186" s="567">
        <f>SUM(G179:G186)</f>
        <v>102253.82</v>
      </c>
      <c r="N186" s="554" t="s">
        <v>833</v>
      </c>
      <c r="O186" s="564">
        <f>G186</f>
        <v>90000</v>
      </c>
      <c r="P186" s="612">
        <f>SUM(O179:O186)</f>
        <v>102253.82</v>
      </c>
      <c r="Q186" s="296">
        <f>G186</f>
        <v>90000</v>
      </c>
      <c r="R186" s="519"/>
      <c r="U186" s="459"/>
    </row>
    <row r="187" spans="1:22" s="458" customFormat="1" ht="21.95" customHeight="1" x14ac:dyDescent="0.25">
      <c r="A187" s="268"/>
      <c r="B187" s="53"/>
      <c r="C187" s="296"/>
      <c r="D187" s="297"/>
      <c r="E187" s="296"/>
      <c r="F187" s="296"/>
      <c r="G187" s="296"/>
      <c r="H187" s="19"/>
      <c r="N187" s="53"/>
      <c r="O187" s="45"/>
      <c r="P187" s="45"/>
      <c r="Q187" s="296"/>
      <c r="R187" s="300"/>
      <c r="T187" s="496"/>
      <c r="U187" s="495"/>
    </row>
    <row r="188" spans="1:22" s="459" customFormat="1" ht="21.95" customHeight="1" x14ac:dyDescent="0.25">
      <c r="A188" s="268" t="e">
        <f>#REF!+1</f>
        <v>#REF!</v>
      </c>
      <c r="B188" s="269" t="s">
        <v>142</v>
      </c>
      <c r="C188" s="296">
        <v>4466.5899999999992</v>
      </c>
      <c r="D188" s="297">
        <v>4474</v>
      </c>
      <c r="E188" s="296">
        <v>4292.8100000000004</v>
      </c>
      <c r="F188" s="296">
        <f>E188-D188</f>
        <v>-181.1899999999996</v>
      </c>
      <c r="G188" s="296">
        <f>E188</f>
        <v>4292.8100000000004</v>
      </c>
      <c r="H188" s="19" t="s">
        <v>95</v>
      </c>
      <c r="I188" s="458"/>
      <c r="J188" s="458"/>
      <c r="K188" s="458"/>
      <c r="L188" s="458"/>
      <c r="M188" s="458"/>
      <c r="N188" s="269" t="s">
        <v>142</v>
      </c>
      <c r="O188" s="45">
        <f>G188</f>
        <v>4292.8100000000004</v>
      </c>
      <c r="P188" s="45"/>
      <c r="Q188" s="296">
        <f>O188</f>
        <v>4292.8100000000004</v>
      </c>
      <c r="R188" s="300"/>
      <c r="S188" s="458" t="s">
        <v>777</v>
      </c>
      <c r="T188" s="458"/>
    </row>
    <row r="189" spans="1:22" s="459" customFormat="1" ht="21.95" customHeight="1" x14ac:dyDescent="0.25">
      <c r="A189" s="268"/>
      <c r="B189" s="269"/>
      <c r="C189" s="296"/>
      <c r="D189" s="297"/>
      <c r="E189" s="296"/>
      <c r="F189" s="296"/>
      <c r="G189" s="296"/>
      <c r="H189" s="19"/>
      <c r="I189" s="458"/>
      <c r="J189" s="458"/>
      <c r="K189" s="458"/>
      <c r="L189" s="458"/>
      <c r="M189" s="458"/>
      <c r="N189" s="269"/>
      <c r="O189" s="45"/>
      <c r="P189" s="45"/>
      <c r="Q189" s="296"/>
      <c r="R189" s="300"/>
      <c r="S189" s="458"/>
      <c r="T189" s="458"/>
    </row>
    <row r="190" spans="1:22" s="459" customFormat="1" ht="21.95" customHeight="1" x14ac:dyDescent="0.25">
      <c r="A190" s="268" t="e">
        <f>#REF!+1</f>
        <v>#REF!</v>
      </c>
      <c r="B190" s="541" t="s">
        <v>143</v>
      </c>
      <c r="C190" s="537">
        <v>16702.41</v>
      </c>
      <c r="D190" s="538">
        <v>14007</v>
      </c>
      <c r="E190" s="537">
        <v>20028.830000000002</v>
      </c>
      <c r="F190" s="537">
        <f>E190-D190</f>
        <v>6021.8300000000017</v>
      </c>
      <c r="G190" s="537">
        <f>E190</f>
        <v>20028.830000000002</v>
      </c>
      <c r="H190" s="19" t="s">
        <v>95</v>
      </c>
      <c r="I190" s="458"/>
      <c r="J190" s="458"/>
      <c r="K190" s="458"/>
      <c r="L190" s="458"/>
      <c r="M190" s="458"/>
      <c r="N190" s="541" t="s">
        <v>143</v>
      </c>
      <c r="O190" s="537">
        <f>G190</f>
        <v>20028.830000000002</v>
      </c>
      <c r="P190" s="45"/>
      <c r="Q190" s="296">
        <f>O190</f>
        <v>20028.830000000002</v>
      </c>
      <c r="R190" s="300"/>
      <c r="S190" s="458" t="s">
        <v>779</v>
      </c>
      <c r="T190" s="458" t="s">
        <v>741</v>
      </c>
    </row>
    <row r="191" spans="1:22" s="459" customFormat="1" ht="25.5" customHeight="1" x14ac:dyDescent="0.25">
      <c r="A191" s="268"/>
      <c r="B191" s="536" t="s">
        <v>785</v>
      </c>
      <c r="C191" s="537"/>
      <c r="D191" s="538"/>
      <c r="E191" s="537"/>
      <c r="F191" s="537"/>
      <c r="G191" s="539">
        <v>30000</v>
      </c>
      <c r="H191" s="299"/>
      <c r="I191" s="299"/>
      <c r="J191" s="299"/>
      <c r="K191" s="299"/>
      <c r="L191" s="299"/>
      <c r="M191" s="563">
        <f>SUM(G190:G191)</f>
        <v>50028.83</v>
      </c>
      <c r="N191" s="536" t="s">
        <v>785</v>
      </c>
      <c r="O191" s="539">
        <v>30000</v>
      </c>
      <c r="P191" s="613">
        <f>SUM(O190:O191)</f>
        <v>50028.83</v>
      </c>
      <c r="Q191" s="298">
        <v>30000</v>
      </c>
      <c r="R191" s="300"/>
      <c r="S191" s="458"/>
      <c r="T191" s="458"/>
    </row>
    <row r="192" spans="1:22" s="497" customFormat="1" ht="21.95" customHeight="1" x14ac:dyDescent="0.25">
      <c r="A192" s="268"/>
      <c r="B192" s="561"/>
      <c r="C192" s="302"/>
      <c r="D192" s="248"/>
      <c r="E192" s="106"/>
      <c r="F192" s="543"/>
      <c r="G192" s="248"/>
      <c r="H192" s="43"/>
      <c r="N192" s="561"/>
      <c r="O192" s="607"/>
      <c r="P192" s="607"/>
      <c r="Q192" s="248"/>
      <c r="R192" s="562"/>
      <c r="U192" s="504"/>
    </row>
    <row r="193" spans="1:22" s="458" customFormat="1" ht="21.95" customHeight="1" x14ac:dyDescent="0.25">
      <c r="A193" s="268" t="e">
        <f>#REF!+1</f>
        <v>#REF!</v>
      </c>
      <c r="B193" s="53" t="s">
        <v>203</v>
      </c>
      <c r="C193" s="52">
        <v>8153.6</v>
      </c>
      <c r="D193" s="239">
        <v>7746</v>
      </c>
      <c r="E193" s="52">
        <v>8361.65</v>
      </c>
      <c r="F193" s="52">
        <f>E193-D193</f>
        <v>615.64999999999964</v>
      </c>
      <c r="G193" s="52">
        <f>E193</f>
        <v>8361.65</v>
      </c>
      <c r="H193" s="43" t="s">
        <v>95</v>
      </c>
      <c r="I193" s="497"/>
      <c r="J193" s="497"/>
      <c r="K193" s="497"/>
      <c r="L193" s="497"/>
      <c r="M193" s="497"/>
      <c r="N193" s="53" t="s">
        <v>203</v>
      </c>
      <c r="O193" s="32">
        <f>E193</f>
        <v>8361.65</v>
      </c>
      <c r="P193" s="32"/>
      <c r="Q193" s="52">
        <f>E193</f>
        <v>8361.65</v>
      </c>
      <c r="R193" s="240"/>
      <c r="S193" s="458" t="s">
        <v>815</v>
      </c>
      <c r="T193" s="496">
        <v>44773</v>
      </c>
      <c r="U193" s="495">
        <f>2038.4*4+208.05*2</f>
        <v>8569.7000000000007</v>
      </c>
    </row>
    <row r="194" spans="1:22" s="458" customFormat="1" ht="46.5" customHeight="1" x14ac:dyDescent="0.25">
      <c r="A194" s="268"/>
      <c r="B194" s="226" t="s">
        <v>916</v>
      </c>
      <c r="C194" s="52"/>
      <c r="D194" s="239"/>
      <c r="E194" s="52"/>
      <c r="F194" s="52">
        <f t="shared" ref="F194:F195" si="40">E194-D194</f>
        <v>0</v>
      </c>
      <c r="G194" s="228">
        <f>10*1000</f>
        <v>10000</v>
      </c>
      <c r="H194" s="43" t="s">
        <v>95</v>
      </c>
      <c r="I194" s="497"/>
      <c r="J194" s="497"/>
      <c r="K194" s="497"/>
      <c r="L194" s="497"/>
      <c r="M194" s="497"/>
      <c r="N194" s="226" t="s">
        <v>916</v>
      </c>
      <c r="O194" s="48">
        <f>10*1000</f>
        <v>10000</v>
      </c>
      <c r="P194" s="48"/>
      <c r="Q194" s="228">
        <f>10*1000</f>
        <v>10000</v>
      </c>
      <c r="R194" s="229"/>
      <c r="T194" s="496"/>
      <c r="U194" s="495"/>
    </row>
    <row r="195" spans="1:22" s="458" customFormat="1" ht="21.95" customHeight="1" x14ac:dyDescent="0.25">
      <c r="A195" s="268"/>
      <c r="B195" s="226" t="s">
        <v>917</v>
      </c>
      <c r="C195" s="52"/>
      <c r="D195" s="239"/>
      <c r="E195" s="52"/>
      <c r="F195" s="52">
        <f t="shared" si="40"/>
        <v>0</v>
      </c>
      <c r="G195" s="228">
        <v>15000</v>
      </c>
      <c r="H195" s="43"/>
      <c r="I195" s="497"/>
      <c r="J195" s="497"/>
      <c r="K195" s="497"/>
      <c r="L195" s="497"/>
      <c r="M195" s="497"/>
      <c r="N195" s="226" t="s">
        <v>917</v>
      </c>
      <c r="O195" s="48"/>
      <c r="P195" s="48"/>
      <c r="Q195" s="228">
        <v>15000</v>
      </c>
      <c r="R195" s="229"/>
      <c r="T195" s="496"/>
      <c r="U195" s="495"/>
    </row>
    <row r="196" spans="1:22" s="458" customFormat="1" ht="21.95" customHeight="1" x14ac:dyDescent="0.25">
      <c r="A196" s="268"/>
      <c r="B196" s="53" t="s">
        <v>824</v>
      </c>
      <c r="C196" s="296">
        <v>156</v>
      </c>
      <c r="D196" s="297">
        <v>0</v>
      </c>
      <c r="E196" s="296">
        <v>154.91</v>
      </c>
      <c r="F196" s="296">
        <f>E196-D196</f>
        <v>154.91</v>
      </c>
      <c r="G196" s="296">
        <f>E196</f>
        <v>154.91</v>
      </c>
      <c r="H196" s="19" t="s">
        <v>95</v>
      </c>
      <c r="N196" s="53" t="s">
        <v>824</v>
      </c>
      <c r="O196" s="45">
        <f>G196</f>
        <v>154.91</v>
      </c>
      <c r="P196" s="45"/>
      <c r="Q196" s="296">
        <f>G196</f>
        <v>154.91</v>
      </c>
      <c r="R196" s="300"/>
      <c r="S196" s="458" t="s">
        <v>825</v>
      </c>
      <c r="T196" s="496">
        <v>46022</v>
      </c>
      <c r="U196" s="495">
        <v>155</v>
      </c>
    </row>
    <row r="197" spans="1:22" s="458" customFormat="1" ht="21.95" customHeight="1" x14ac:dyDescent="0.25">
      <c r="A197" s="268"/>
      <c r="B197" s="53" t="s">
        <v>826</v>
      </c>
      <c r="C197" s="296">
        <v>1207.25</v>
      </c>
      <c r="D197" s="297">
        <v>0</v>
      </c>
      <c r="E197" s="296">
        <v>1207.25</v>
      </c>
      <c r="F197" s="296">
        <f>E197-D197</f>
        <v>1207.25</v>
      </c>
      <c r="G197" s="296">
        <f>E197</f>
        <v>1207.25</v>
      </c>
      <c r="H197" s="19" t="s">
        <v>95</v>
      </c>
      <c r="N197" s="53" t="s">
        <v>826</v>
      </c>
      <c r="O197" s="45">
        <f>G197</f>
        <v>1207.25</v>
      </c>
      <c r="P197" s="45"/>
      <c r="Q197" s="296">
        <f>G197</f>
        <v>1207.25</v>
      </c>
      <c r="R197" s="300"/>
      <c r="S197" s="458" t="s">
        <v>827</v>
      </c>
      <c r="U197" s="459">
        <v>1500</v>
      </c>
    </row>
    <row r="198" spans="1:22" s="458" customFormat="1" ht="33" customHeight="1" x14ac:dyDescent="0.25">
      <c r="A198" s="268"/>
      <c r="B198" s="53" t="s">
        <v>828</v>
      </c>
      <c r="C198" s="296">
        <v>5160</v>
      </c>
      <c r="D198" s="297">
        <v>0</v>
      </c>
      <c r="E198" s="296">
        <v>5160</v>
      </c>
      <c r="F198" s="296">
        <f>E198-D198</f>
        <v>5160</v>
      </c>
      <c r="G198" s="296">
        <f>200*12</f>
        <v>2400</v>
      </c>
      <c r="H198" s="19" t="s">
        <v>95</v>
      </c>
      <c r="N198" s="53" t="s">
        <v>828</v>
      </c>
      <c r="O198" s="45">
        <f>G198</f>
        <v>2400</v>
      </c>
      <c r="P198" s="45"/>
      <c r="Q198" s="296">
        <f>G198</f>
        <v>2400</v>
      </c>
      <c r="R198" s="300"/>
      <c r="S198" s="458" t="s">
        <v>829</v>
      </c>
      <c r="T198" s="458" t="s">
        <v>830</v>
      </c>
      <c r="U198" s="495">
        <f>200*12</f>
        <v>2400</v>
      </c>
    </row>
    <row r="199" spans="1:22" s="458" customFormat="1" ht="33" customHeight="1" x14ac:dyDescent="0.25">
      <c r="A199" s="268"/>
      <c r="B199" s="554" t="s">
        <v>918</v>
      </c>
      <c r="C199" s="552"/>
      <c r="D199" s="553"/>
      <c r="E199" s="552"/>
      <c r="F199" s="552"/>
      <c r="G199" s="555">
        <f>3588.48</f>
        <v>3588.48</v>
      </c>
      <c r="H199" s="43"/>
      <c r="I199" s="497"/>
      <c r="J199" s="497"/>
      <c r="K199" s="497"/>
      <c r="L199" s="497"/>
      <c r="M199" s="497"/>
      <c r="N199" s="554" t="s">
        <v>918</v>
      </c>
      <c r="O199" s="555">
        <f>3588.48</f>
        <v>3588.48</v>
      </c>
      <c r="P199" s="48"/>
      <c r="Q199" s="228">
        <f>3588.48</f>
        <v>3588.48</v>
      </c>
      <c r="R199" s="229"/>
      <c r="T199" s="496"/>
      <c r="U199" s="495"/>
    </row>
    <row r="200" spans="1:22" s="458" customFormat="1" ht="31.5" customHeight="1" x14ac:dyDescent="0.25">
      <c r="A200" s="268"/>
      <c r="B200" s="554" t="s">
        <v>919</v>
      </c>
      <c r="C200" s="552"/>
      <c r="D200" s="553"/>
      <c r="E200" s="552"/>
      <c r="F200" s="552"/>
      <c r="G200" s="555">
        <f>1235</f>
        <v>1235</v>
      </c>
      <c r="H200" s="43"/>
      <c r="I200" s="497"/>
      <c r="J200" s="497"/>
      <c r="K200" s="497"/>
      <c r="L200" s="497"/>
      <c r="M200" s="497"/>
      <c r="N200" s="554" t="s">
        <v>919</v>
      </c>
      <c r="O200" s="555">
        <f>1235</f>
        <v>1235</v>
      </c>
      <c r="P200" s="48"/>
      <c r="Q200" s="228">
        <f>1235</f>
        <v>1235</v>
      </c>
      <c r="R200" s="229"/>
      <c r="T200" s="496"/>
      <c r="U200" s="495"/>
    </row>
    <row r="201" spans="1:22" s="458" customFormat="1" ht="24.75" customHeight="1" x14ac:dyDescent="0.25">
      <c r="A201" s="268"/>
      <c r="B201" s="554" t="s">
        <v>920</v>
      </c>
      <c r="C201" s="552"/>
      <c r="D201" s="553"/>
      <c r="E201" s="552"/>
      <c r="F201" s="552"/>
      <c r="G201" s="555">
        <v>3357</v>
      </c>
      <c r="H201" s="43"/>
      <c r="I201" s="497"/>
      <c r="J201" s="497"/>
      <c r="K201" s="497"/>
      <c r="L201" s="497"/>
      <c r="M201" s="567">
        <f>SUM(G199:G201)</f>
        <v>8180.48</v>
      </c>
      <c r="N201" s="554" t="s">
        <v>920</v>
      </c>
      <c r="O201" s="555">
        <v>3357</v>
      </c>
      <c r="P201" s="614">
        <f>SUM(O199:O201)</f>
        <v>8180.48</v>
      </c>
      <c r="Q201" s="228">
        <v>3357</v>
      </c>
      <c r="R201" s="229"/>
      <c r="T201" s="496"/>
      <c r="U201" s="495"/>
    </row>
    <row r="202" spans="1:22" s="458" customFormat="1" ht="59.25" customHeight="1" x14ac:dyDescent="0.25">
      <c r="A202" s="268"/>
      <c r="B202" s="255" t="s">
        <v>921</v>
      </c>
      <c r="C202" s="256"/>
      <c r="D202" s="364"/>
      <c r="E202" s="256"/>
      <c r="F202" s="256"/>
      <c r="G202" s="365">
        <v>10000</v>
      </c>
      <c r="H202" s="257"/>
      <c r="I202" s="257"/>
      <c r="J202" s="257"/>
      <c r="K202" s="257"/>
      <c r="L202" s="257"/>
      <c r="M202" s="559"/>
      <c r="N202" s="255" t="s">
        <v>921</v>
      </c>
      <c r="O202" s="608">
        <v>4000</v>
      </c>
      <c r="P202" s="608"/>
      <c r="Q202" s="365">
        <v>4000</v>
      </c>
      <c r="R202" s="229"/>
      <c r="T202" s="496"/>
      <c r="U202" s="495"/>
    </row>
    <row r="203" spans="1:22" s="497" customFormat="1" ht="47.25" customHeight="1" x14ac:dyDescent="0.25">
      <c r="A203" s="268"/>
      <c r="B203" s="255"/>
      <c r="C203" s="256"/>
      <c r="D203" s="364"/>
      <c r="E203" s="256"/>
      <c r="F203" s="256"/>
      <c r="G203" s="256"/>
      <c r="H203" s="257"/>
      <c r="I203" s="257"/>
      <c r="J203" s="257"/>
      <c r="K203" s="257"/>
      <c r="L203" s="257"/>
      <c r="M203" s="559"/>
      <c r="N203" s="255"/>
      <c r="O203" s="604"/>
      <c r="P203" s="604"/>
      <c r="Q203" s="256"/>
      <c r="R203" s="229"/>
      <c r="T203" s="560"/>
      <c r="U203" s="504"/>
    </row>
    <row r="204" spans="1:22" s="458" customFormat="1" ht="21.95" customHeight="1" x14ac:dyDescent="0.25">
      <c r="A204" s="268" t="e">
        <f>#REF!+1</f>
        <v>#REF!</v>
      </c>
      <c r="B204" s="53" t="s">
        <v>266</v>
      </c>
      <c r="C204" s="426">
        <v>3023</v>
      </c>
      <c r="D204" s="239">
        <v>4528</v>
      </c>
      <c r="E204" s="52">
        <v>3047.49</v>
      </c>
      <c r="F204" s="52">
        <f t="shared" ref="F204:F205" si="41">E204-D204</f>
        <v>-1480.5100000000002</v>
      </c>
      <c r="G204" s="426">
        <f t="shared" ref="G204:G205" si="42">E204</f>
        <v>3047.49</v>
      </c>
      <c r="H204" s="19" t="s">
        <v>41</v>
      </c>
      <c r="N204" s="53" t="s">
        <v>266</v>
      </c>
      <c r="O204" s="32">
        <v>3047.49</v>
      </c>
      <c r="P204" s="32"/>
      <c r="Q204" s="426">
        <v>3047.49</v>
      </c>
      <c r="R204" s="427"/>
      <c r="S204" s="458" t="s">
        <v>981</v>
      </c>
      <c r="T204" s="496">
        <v>44863</v>
      </c>
      <c r="U204" s="459">
        <f>1100+240.37</f>
        <v>1340.37</v>
      </c>
      <c r="V204" s="458" t="s">
        <v>982</v>
      </c>
    </row>
    <row r="205" spans="1:22" s="458" customFormat="1" ht="21.95" customHeight="1" x14ac:dyDescent="0.25">
      <c r="A205" s="268" t="e">
        <f>#REF!+1</f>
        <v>#REF!</v>
      </c>
      <c r="B205" s="53" t="s">
        <v>275</v>
      </c>
      <c r="C205" s="426">
        <v>1593</v>
      </c>
      <c r="D205" s="239">
        <v>1826</v>
      </c>
      <c r="E205" s="52">
        <v>1453</v>
      </c>
      <c r="F205" s="52">
        <f t="shared" si="41"/>
        <v>-373</v>
      </c>
      <c r="G205" s="426">
        <f t="shared" si="42"/>
        <v>1453</v>
      </c>
      <c r="H205" s="19" t="s">
        <v>41</v>
      </c>
      <c r="N205" s="53" t="s">
        <v>275</v>
      </c>
      <c r="O205" s="32">
        <v>1453</v>
      </c>
      <c r="P205" s="32"/>
      <c r="Q205" s="426">
        <v>1453</v>
      </c>
      <c r="R205" s="427"/>
      <c r="S205" s="458" t="s">
        <v>984</v>
      </c>
      <c r="T205" s="496">
        <v>46022</v>
      </c>
      <c r="U205" s="459">
        <v>1453</v>
      </c>
    </row>
    <row r="206" spans="1:22" x14ac:dyDescent="0.25">
      <c r="G206" s="60">
        <f t="shared" ref="G206:L206" si="43">SUM(G78:G205)</f>
        <v>1977142.1300000001</v>
      </c>
      <c r="H206" s="60">
        <f t="shared" si="43"/>
        <v>0</v>
      </c>
      <c r="I206" s="60">
        <f t="shared" si="43"/>
        <v>9920</v>
      </c>
      <c r="J206" s="60">
        <f t="shared" si="43"/>
        <v>0</v>
      </c>
      <c r="K206" s="60">
        <f t="shared" si="43"/>
        <v>0</v>
      </c>
      <c r="L206" s="60">
        <f t="shared" si="43"/>
        <v>0</v>
      </c>
      <c r="M206" s="60"/>
      <c r="O206" s="60">
        <f>SUM(O78:O205)</f>
        <v>1953479.61</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sheetPr>
  <dimension ref="A1:Y142"/>
  <sheetViews>
    <sheetView topLeftCell="I58" zoomScale="80" zoomScaleNormal="80" workbookViewId="0">
      <selection activeCell="T23" sqref="T23"/>
    </sheetView>
  </sheetViews>
  <sheetFormatPr defaultRowHeight="12.75" x14ac:dyDescent="0.2"/>
  <cols>
    <col min="1" max="1" width="17.85546875" style="62" customWidth="1"/>
    <col min="2" max="2" width="16.85546875" style="62" customWidth="1"/>
    <col min="3" max="3" width="14.5703125" style="62" customWidth="1"/>
    <col min="4" max="5" width="15.85546875" style="62" customWidth="1"/>
    <col min="6" max="6" width="17.140625" style="62" customWidth="1"/>
    <col min="7" max="7" width="13.140625" style="62" customWidth="1"/>
    <col min="8" max="8" width="12.140625" style="62" customWidth="1"/>
    <col min="9" max="9" width="12.85546875" style="62" customWidth="1"/>
    <col min="10" max="10" width="14.42578125" style="62" customWidth="1"/>
    <col min="11" max="11" width="12.7109375" style="62" customWidth="1"/>
    <col min="12" max="12" width="31.7109375" style="62" customWidth="1"/>
    <col min="13" max="13" width="12.5703125" style="62" customWidth="1"/>
    <col min="14" max="14" width="17" style="62" customWidth="1"/>
    <col min="15" max="15" width="13.140625" style="62" customWidth="1"/>
    <col min="16" max="20" width="14.7109375" style="62" customWidth="1"/>
    <col min="21" max="21" width="12.5703125" style="62" customWidth="1"/>
    <col min="22" max="22" width="9.85546875" style="62" customWidth="1"/>
    <col min="23" max="23" width="14.7109375" style="62" customWidth="1"/>
    <col min="24" max="24" width="19.140625" style="62" customWidth="1"/>
    <col min="25" max="25" width="20.28515625" style="62" customWidth="1"/>
    <col min="26" max="26" width="13" style="62" customWidth="1"/>
    <col min="27" max="256" width="9.140625" style="62"/>
    <col min="257" max="257" width="17.85546875" style="62" customWidth="1"/>
    <col min="258" max="258" width="16.85546875" style="62" customWidth="1"/>
    <col min="259" max="259" width="14.5703125" style="62" customWidth="1"/>
    <col min="260" max="261" width="15.85546875" style="62" customWidth="1"/>
    <col min="262" max="262" width="17.140625" style="62" customWidth="1"/>
    <col min="263" max="263" width="13.140625" style="62" customWidth="1"/>
    <col min="264" max="264" width="12.140625" style="62" customWidth="1"/>
    <col min="265" max="265" width="12.85546875" style="62" customWidth="1"/>
    <col min="266" max="266" width="14.42578125" style="62" customWidth="1"/>
    <col min="267" max="267" width="12.7109375" style="62" customWidth="1"/>
    <col min="268" max="268" width="17.5703125" style="62" customWidth="1"/>
    <col min="269" max="269" width="12.5703125" style="62" customWidth="1"/>
    <col min="270" max="270" width="17" style="62" customWidth="1"/>
    <col min="271" max="271" width="13.140625" style="62" customWidth="1"/>
    <col min="272" max="276" width="14.7109375" style="62" customWidth="1"/>
    <col min="277" max="277" width="12.5703125" style="62" customWidth="1"/>
    <col min="278" max="278" width="9.85546875" style="62" customWidth="1"/>
    <col min="279" max="279" width="14.7109375" style="62" customWidth="1"/>
    <col min="280" max="280" width="19.140625" style="62" customWidth="1"/>
    <col min="281" max="281" width="20.28515625" style="62" customWidth="1"/>
    <col min="282" max="282" width="13" style="62" customWidth="1"/>
    <col min="283" max="512" width="9.140625" style="62"/>
    <col min="513" max="513" width="17.85546875" style="62" customWidth="1"/>
    <col min="514" max="514" width="16.85546875" style="62" customWidth="1"/>
    <col min="515" max="515" width="14.5703125" style="62" customWidth="1"/>
    <col min="516" max="517" width="15.85546875" style="62" customWidth="1"/>
    <col min="518" max="518" width="17.140625" style="62" customWidth="1"/>
    <col min="519" max="519" width="13.140625" style="62" customWidth="1"/>
    <col min="520" max="520" width="12.140625" style="62" customWidth="1"/>
    <col min="521" max="521" width="12.85546875" style="62" customWidth="1"/>
    <col min="522" max="522" width="14.42578125" style="62" customWidth="1"/>
    <col min="523" max="523" width="12.7109375" style="62" customWidth="1"/>
    <col min="524" max="524" width="17.5703125" style="62" customWidth="1"/>
    <col min="525" max="525" width="12.5703125" style="62" customWidth="1"/>
    <col min="526" max="526" width="17" style="62" customWidth="1"/>
    <col min="527" max="527" width="13.140625" style="62" customWidth="1"/>
    <col min="528" max="532" width="14.7109375" style="62" customWidth="1"/>
    <col min="533" max="533" width="12.5703125" style="62" customWidth="1"/>
    <col min="534" max="534" width="9.85546875" style="62" customWidth="1"/>
    <col min="535" max="535" width="14.7109375" style="62" customWidth="1"/>
    <col min="536" max="536" width="19.140625" style="62" customWidth="1"/>
    <col min="537" max="537" width="20.28515625" style="62" customWidth="1"/>
    <col min="538" max="538" width="13" style="62" customWidth="1"/>
    <col min="539" max="768" width="9.140625" style="62"/>
    <col min="769" max="769" width="17.85546875" style="62" customWidth="1"/>
    <col min="770" max="770" width="16.85546875" style="62" customWidth="1"/>
    <col min="771" max="771" width="14.5703125" style="62" customWidth="1"/>
    <col min="772" max="773" width="15.85546875" style="62" customWidth="1"/>
    <col min="774" max="774" width="17.140625" style="62" customWidth="1"/>
    <col min="775" max="775" width="13.140625" style="62" customWidth="1"/>
    <col min="776" max="776" width="12.140625" style="62" customWidth="1"/>
    <col min="777" max="777" width="12.85546875" style="62" customWidth="1"/>
    <col min="778" max="778" width="14.42578125" style="62" customWidth="1"/>
    <col min="779" max="779" width="12.7109375" style="62" customWidth="1"/>
    <col min="780" max="780" width="17.5703125" style="62" customWidth="1"/>
    <col min="781" max="781" width="12.5703125" style="62" customWidth="1"/>
    <col min="782" max="782" width="17" style="62" customWidth="1"/>
    <col min="783" max="783" width="13.140625" style="62" customWidth="1"/>
    <col min="784" max="788" width="14.7109375" style="62" customWidth="1"/>
    <col min="789" max="789" width="12.5703125" style="62" customWidth="1"/>
    <col min="790" max="790" width="9.85546875" style="62" customWidth="1"/>
    <col min="791" max="791" width="14.7109375" style="62" customWidth="1"/>
    <col min="792" max="792" width="19.140625" style="62" customWidth="1"/>
    <col min="793" max="793" width="20.28515625" style="62" customWidth="1"/>
    <col min="794" max="794" width="13" style="62" customWidth="1"/>
    <col min="795" max="1024" width="9.140625" style="62"/>
    <col min="1025" max="1025" width="17.85546875" style="62" customWidth="1"/>
    <col min="1026" max="1026" width="16.85546875" style="62" customWidth="1"/>
    <col min="1027" max="1027" width="14.5703125" style="62" customWidth="1"/>
    <col min="1028" max="1029" width="15.85546875" style="62" customWidth="1"/>
    <col min="1030" max="1030" width="17.140625" style="62" customWidth="1"/>
    <col min="1031" max="1031" width="13.140625" style="62" customWidth="1"/>
    <col min="1032" max="1032" width="12.140625" style="62" customWidth="1"/>
    <col min="1033" max="1033" width="12.85546875" style="62" customWidth="1"/>
    <col min="1034" max="1034" width="14.42578125" style="62" customWidth="1"/>
    <col min="1035" max="1035" width="12.7109375" style="62" customWidth="1"/>
    <col min="1036" max="1036" width="17.5703125" style="62" customWidth="1"/>
    <col min="1037" max="1037" width="12.5703125" style="62" customWidth="1"/>
    <col min="1038" max="1038" width="17" style="62" customWidth="1"/>
    <col min="1039" max="1039" width="13.140625" style="62" customWidth="1"/>
    <col min="1040" max="1044" width="14.7109375" style="62" customWidth="1"/>
    <col min="1045" max="1045" width="12.5703125" style="62" customWidth="1"/>
    <col min="1046" max="1046" width="9.85546875" style="62" customWidth="1"/>
    <col min="1047" max="1047" width="14.7109375" style="62" customWidth="1"/>
    <col min="1048" max="1048" width="19.140625" style="62" customWidth="1"/>
    <col min="1049" max="1049" width="20.28515625" style="62" customWidth="1"/>
    <col min="1050" max="1050" width="13" style="62" customWidth="1"/>
    <col min="1051" max="1280" width="9.140625" style="62"/>
    <col min="1281" max="1281" width="17.85546875" style="62" customWidth="1"/>
    <col min="1282" max="1282" width="16.85546875" style="62" customWidth="1"/>
    <col min="1283" max="1283" width="14.5703125" style="62" customWidth="1"/>
    <col min="1284" max="1285" width="15.85546875" style="62" customWidth="1"/>
    <col min="1286" max="1286" width="17.140625" style="62" customWidth="1"/>
    <col min="1287" max="1287" width="13.140625" style="62" customWidth="1"/>
    <col min="1288" max="1288" width="12.140625" style="62" customWidth="1"/>
    <col min="1289" max="1289" width="12.85546875" style="62" customWidth="1"/>
    <col min="1290" max="1290" width="14.42578125" style="62" customWidth="1"/>
    <col min="1291" max="1291" width="12.7109375" style="62" customWidth="1"/>
    <col min="1292" max="1292" width="17.5703125" style="62" customWidth="1"/>
    <col min="1293" max="1293" width="12.5703125" style="62" customWidth="1"/>
    <col min="1294" max="1294" width="17" style="62" customWidth="1"/>
    <col min="1295" max="1295" width="13.140625" style="62" customWidth="1"/>
    <col min="1296" max="1300" width="14.7109375" style="62" customWidth="1"/>
    <col min="1301" max="1301" width="12.5703125" style="62" customWidth="1"/>
    <col min="1302" max="1302" width="9.85546875" style="62" customWidth="1"/>
    <col min="1303" max="1303" width="14.7109375" style="62" customWidth="1"/>
    <col min="1304" max="1304" width="19.140625" style="62" customWidth="1"/>
    <col min="1305" max="1305" width="20.28515625" style="62" customWidth="1"/>
    <col min="1306" max="1306" width="13" style="62" customWidth="1"/>
    <col min="1307" max="1536" width="9.140625" style="62"/>
    <col min="1537" max="1537" width="17.85546875" style="62" customWidth="1"/>
    <col min="1538" max="1538" width="16.85546875" style="62" customWidth="1"/>
    <col min="1539" max="1539" width="14.5703125" style="62" customWidth="1"/>
    <col min="1540" max="1541" width="15.85546875" style="62" customWidth="1"/>
    <col min="1542" max="1542" width="17.140625" style="62" customWidth="1"/>
    <col min="1543" max="1543" width="13.140625" style="62" customWidth="1"/>
    <col min="1544" max="1544" width="12.140625" style="62" customWidth="1"/>
    <col min="1545" max="1545" width="12.85546875" style="62" customWidth="1"/>
    <col min="1546" max="1546" width="14.42578125" style="62" customWidth="1"/>
    <col min="1547" max="1547" width="12.7109375" style="62" customWidth="1"/>
    <col min="1548" max="1548" width="17.5703125" style="62" customWidth="1"/>
    <col min="1549" max="1549" width="12.5703125" style="62" customWidth="1"/>
    <col min="1550" max="1550" width="17" style="62" customWidth="1"/>
    <col min="1551" max="1551" width="13.140625" style="62" customWidth="1"/>
    <col min="1552" max="1556" width="14.7109375" style="62" customWidth="1"/>
    <col min="1557" max="1557" width="12.5703125" style="62" customWidth="1"/>
    <col min="1558" max="1558" width="9.85546875" style="62" customWidth="1"/>
    <col min="1559" max="1559" width="14.7109375" style="62" customWidth="1"/>
    <col min="1560" max="1560" width="19.140625" style="62" customWidth="1"/>
    <col min="1561" max="1561" width="20.28515625" style="62" customWidth="1"/>
    <col min="1562" max="1562" width="13" style="62" customWidth="1"/>
    <col min="1563" max="1792" width="9.140625" style="62"/>
    <col min="1793" max="1793" width="17.85546875" style="62" customWidth="1"/>
    <col min="1794" max="1794" width="16.85546875" style="62" customWidth="1"/>
    <col min="1795" max="1795" width="14.5703125" style="62" customWidth="1"/>
    <col min="1796" max="1797" width="15.85546875" style="62" customWidth="1"/>
    <col min="1798" max="1798" width="17.140625" style="62" customWidth="1"/>
    <col min="1799" max="1799" width="13.140625" style="62" customWidth="1"/>
    <col min="1800" max="1800" width="12.140625" style="62" customWidth="1"/>
    <col min="1801" max="1801" width="12.85546875" style="62" customWidth="1"/>
    <col min="1802" max="1802" width="14.42578125" style="62" customWidth="1"/>
    <col min="1803" max="1803" width="12.7109375" style="62" customWidth="1"/>
    <col min="1804" max="1804" width="17.5703125" style="62" customWidth="1"/>
    <col min="1805" max="1805" width="12.5703125" style="62" customWidth="1"/>
    <col min="1806" max="1806" width="17" style="62" customWidth="1"/>
    <col min="1807" max="1807" width="13.140625" style="62" customWidth="1"/>
    <col min="1808" max="1812" width="14.7109375" style="62" customWidth="1"/>
    <col min="1813" max="1813" width="12.5703125" style="62" customWidth="1"/>
    <col min="1814" max="1814" width="9.85546875" style="62" customWidth="1"/>
    <col min="1815" max="1815" width="14.7109375" style="62" customWidth="1"/>
    <col min="1816" max="1816" width="19.140625" style="62" customWidth="1"/>
    <col min="1817" max="1817" width="20.28515625" style="62" customWidth="1"/>
    <col min="1818" max="1818" width="13" style="62" customWidth="1"/>
    <col min="1819" max="2048" width="9.140625" style="62"/>
    <col min="2049" max="2049" width="17.85546875" style="62" customWidth="1"/>
    <col min="2050" max="2050" width="16.85546875" style="62" customWidth="1"/>
    <col min="2051" max="2051" width="14.5703125" style="62" customWidth="1"/>
    <col min="2052" max="2053" width="15.85546875" style="62" customWidth="1"/>
    <col min="2054" max="2054" width="17.140625" style="62" customWidth="1"/>
    <col min="2055" max="2055" width="13.140625" style="62" customWidth="1"/>
    <col min="2056" max="2056" width="12.140625" style="62" customWidth="1"/>
    <col min="2057" max="2057" width="12.85546875" style="62" customWidth="1"/>
    <col min="2058" max="2058" width="14.42578125" style="62" customWidth="1"/>
    <col min="2059" max="2059" width="12.7109375" style="62" customWidth="1"/>
    <col min="2060" max="2060" width="17.5703125" style="62" customWidth="1"/>
    <col min="2061" max="2061" width="12.5703125" style="62" customWidth="1"/>
    <col min="2062" max="2062" width="17" style="62" customWidth="1"/>
    <col min="2063" max="2063" width="13.140625" style="62" customWidth="1"/>
    <col min="2064" max="2068" width="14.7109375" style="62" customWidth="1"/>
    <col min="2069" max="2069" width="12.5703125" style="62" customWidth="1"/>
    <col min="2070" max="2070" width="9.85546875" style="62" customWidth="1"/>
    <col min="2071" max="2071" width="14.7109375" style="62" customWidth="1"/>
    <col min="2072" max="2072" width="19.140625" style="62" customWidth="1"/>
    <col min="2073" max="2073" width="20.28515625" style="62" customWidth="1"/>
    <col min="2074" max="2074" width="13" style="62" customWidth="1"/>
    <col min="2075" max="2304" width="9.140625" style="62"/>
    <col min="2305" max="2305" width="17.85546875" style="62" customWidth="1"/>
    <col min="2306" max="2306" width="16.85546875" style="62" customWidth="1"/>
    <col min="2307" max="2307" width="14.5703125" style="62" customWidth="1"/>
    <col min="2308" max="2309" width="15.85546875" style="62" customWidth="1"/>
    <col min="2310" max="2310" width="17.140625" style="62" customWidth="1"/>
    <col min="2311" max="2311" width="13.140625" style="62" customWidth="1"/>
    <col min="2312" max="2312" width="12.140625" style="62" customWidth="1"/>
    <col min="2313" max="2313" width="12.85546875" style="62" customWidth="1"/>
    <col min="2314" max="2314" width="14.42578125" style="62" customWidth="1"/>
    <col min="2315" max="2315" width="12.7109375" style="62" customWidth="1"/>
    <col min="2316" max="2316" width="17.5703125" style="62" customWidth="1"/>
    <col min="2317" max="2317" width="12.5703125" style="62" customWidth="1"/>
    <col min="2318" max="2318" width="17" style="62" customWidth="1"/>
    <col min="2319" max="2319" width="13.140625" style="62" customWidth="1"/>
    <col min="2320" max="2324" width="14.7109375" style="62" customWidth="1"/>
    <col min="2325" max="2325" width="12.5703125" style="62" customWidth="1"/>
    <col min="2326" max="2326" width="9.85546875" style="62" customWidth="1"/>
    <col min="2327" max="2327" width="14.7109375" style="62" customWidth="1"/>
    <col min="2328" max="2328" width="19.140625" style="62" customWidth="1"/>
    <col min="2329" max="2329" width="20.28515625" style="62" customWidth="1"/>
    <col min="2330" max="2330" width="13" style="62" customWidth="1"/>
    <col min="2331" max="2560" width="9.140625" style="62"/>
    <col min="2561" max="2561" width="17.85546875" style="62" customWidth="1"/>
    <col min="2562" max="2562" width="16.85546875" style="62" customWidth="1"/>
    <col min="2563" max="2563" width="14.5703125" style="62" customWidth="1"/>
    <col min="2564" max="2565" width="15.85546875" style="62" customWidth="1"/>
    <col min="2566" max="2566" width="17.140625" style="62" customWidth="1"/>
    <col min="2567" max="2567" width="13.140625" style="62" customWidth="1"/>
    <col min="2568" max="2568" width="12.140625" style="62" customWidth="1"/>
    <col min="2569" max="2569" width="12.85546875" style="62" customWidth="1"/>
    <col min="2570" max="2570" width="14.42578125" style="62" customWidth="1"/>
    <col min="2571" max="2571" width="12.7109375" style="62" customWidth="1"/>
    <col min="2572" max="2572" width="17.5703125" style="62" customWidth="1"/>
    <col min="2573" max="2573" width="12.5703125" style="62" customWidth="1"/>
    <col min="2574" max="2574" width="17" style="62" customWidth="1"/>
    <col min="2575" max="2575" width="13.140625" style="62" customWidth="1"/>
    <col min="2576" max="2580" width="14.7109375" style="62" customWidth="1"/>
    <col min="2581" max="2581" width="12.5703125" style="62" customWidth="1"/>
    <col min="2582" max="2582" width="9.85546875" style="62" customWidth="1"/>
    <col min="2583" max="2583" width="14.7109375" style="62" customWidth="1"/>
    <col min="2584" max="2584" width="19.140625" style="62" customWidth="1"/>
    <col min="2585" max="2585" width="20.28515625" style="62" customWidth="1"/>
    <col min="2586" max="2586" width="13" style="62" customWidth="1"/>
    <col min="2587" max="2816" width="9.140625" style="62"/>
    <col min="2817" max="2817" width="17.85546875" style="62" customWidth="1"/>
    <col min="2818" max="2818" width="16.85546875" style="62" customWidth="1"/>
    <col min="2819" max="2819" width="14.5703125" style="62" customWidth="1"/>
    <col min="2820" max="2821" width="15.85546875" style="62" customWidth="1"/>
    <col min="2822" max="2822" width="17.140625" style="62" customWidth="1"/>
    <col min="2823" max="2823" width="13.140625" style="62" customWidth="1"/>
    <col min="2824" max="2824" width="12.140625" style="62" customWidth="1"/>
    <col min="2825" max="2825" width="12.85546875" style="62" customWidth="1"/>
    <col min="2826" max="2826" width="14.42578125" style="62" customWidth="1"/>
    <col min="2827" max="2827" width="12.7109375" style="62" customWidth="1"/>
    <col min="2828" max="2828" width="17.5703125" style="62" customWidth="1"/>
    <col min="2829" max="2829" width="12.5703125" style="62" customWidth="1"/>
    <col min="2830" max="2830" width="17" style="62" customWidth="1"/>
    <col min="2831" max="2831" width="13.140625" style="62" customWidth="1"/>
    <col min="2832" max="2836" width="14.7109375" style="62" customWidth="1"/>
    <col min="2837" max="2837" width="12.5703125" style="62" customWidth="1"/>
    <col min="2838" max="2838" width="9.85546875" style="62" customWidth="1"/>
    <col min="2839" max="2839" width="14.7109375" style="62" customWidth="1"/>
    <col min="2840" max="2840" width="19.140625" style="62" customWidth="1"/>
    <col min="2841" max="2841" width="20.28515625" style="62" customWidth="1"/>
    <col min="2842" max="2842" width="13" style="62" customWidth="1"/>
    <col min="2843" max="3072" width="9.140625" style="62"/>
    <col min="3073" max="3073" width="17.85546875" style="62" customWidth="1"/>
    <col min="3074" max="3074" width="16.85546875" style="62" customWidth="1"/>
    <col min="3075" max="3075" width="14.5703125" style="62" customWidth="1"/>
    <col min="3076" max="3077" width="15.85546875" style="62" customWidth="1"/>
    <col min="3078" max="3078" width="17.140625" style="62" customWidth="1"/>
    <col min="3079" max="3079" width="13.140625" style="62" customWidth="1"/>
    <col min="3080" max="3080" width="12.140625" style="62" customWidth="1"/>
    <col min="3081" max="3081" width="12.85546875" style="62" customWidth="1"/>
    <col min="3082" max="3082" width="14.42578125" style="62" customWidth="1"/>
    <col min="3083" max="3083" width="12.7109375" style="62" customWidth="1"/>
    <col min="3084" max="3084" width="17.5703125" style="62" customWidth="1"/>
    <col min="3085" max="3085" width="12.5703125" style="62" customWidth="1"/>
    <col min="3086" max="3086" width="17" style="62" customWidth="1"/>
    <col min="3087" max="3087" width="13.140625" style="62" customWidth="1"/>
    <col min="3088" max="3092" width="14.7109375" style="62" customWidth="1"/>
    <col min="3093" max="3093" width="12.5703125" style="62" customWidth="1"/>
    <col min="3094" max="3094" width="9.85546875" style="62" customWidth="1"/>
    <col min="3095" max="3095" width="14.7109375" style="62" customWidth="1"/>
    <col min="3096" max="3096" width="19.140625" style="62" customWidth="1"/>
    <col min="3097" max="3097" width="20.28515625" style="62" customWidth="1"/>
    <col min="3098" max="3098" width="13" style="62" customWidth="1"/>
    <col min="3099" max="3328" width="9.140625" style="62"/>
    <col min="3329" max="3329" width="17.85546875" style="62" customWidth="1"/>
    <col min="3330" max="3330" width="16.85546875" style="62" customWidth="1"/>
    <col min="3331" max="3331" width="14.5703125" style="62" customWidth="1"/>
    <col min="3332" max="3333" width="15.85546875" style="62" customWidth="1"/>
    <col min="3334" max="3334" width="17.140625" style="62" customWidth="1"/>
    <col min="3335" max="3335" width="13.140625" style="62" customWidth="1"/>
    <col min="3336" max="3336" width="12.140625" style="62" customWidth="1"/>
    <col min="3337" max="3337" width="12.85546875" style="62" customWidth="1"/>
    <col min="3338" max="3338" width="14.42578125" style="62" customWidth="1"/>
    <col min="3339" max="3339" width="12.7109375" style="62" customWidth="1"/>
    <col min="3340" max="3340" width="17.5703125" style="62" customWidth="1"/>
    <col min="3341" max="3341" width="12.5703125" style="62" customWidth="1"/>
    <col min="3342" max="3342" width="17" style="62" customWidth="1"/>
    <col min="3343" max="3343" width="13.140625" style="62" customWidth="1"/>
    <col min="3344" max="3348" width="14.7109375" style="62" customWidth="1"/>
    <col min="3349" max="3349" width="12.5703125" style="62" customWidth="1"/>
    <col min="3350" max="3350" width="9.85546875" style="62" customWidth="1"/>
    <col min="3351" max="3351" width="14.7109375" style="62" customWidth="1"/>
    <col min="3352" max="3352" width="19.140625" style="62" customWidth="1"/>
    <col min="3353" max="3353" width="20.28515625" style="62" customWidth="1"/>
    <col min="3354" max="3354" width="13" style="62" customWidth="1"/>
    <col min="3355" max="3584" width="9.140625" style="62"/>
    <col min="3585" max="3585" width="17.85546875" style="62" customWidth="1"/>
    <col min="3586" max="3586" width="16.85546875" style="62" customWidth="1"/>
    <col min="3587" max="3587" width="14.5703125" style="62" customWidth="1"/>
    <col min="3588" max="3589" width="15.85546875" style="62" customWidth="1"/>
    <col min="3590" max="3590" width="17.140625" style="62" customWidth="1"/>
    <col min="3591" max="3591" width="13.140625" style="62" customWidth="1"/>
    <col min="3592" max="3592" width="12.140625" style="62" customWidth="1"/>
    <col min="3593" max="3593" width="12.85546875" style="62" customWidth="1"/>
    <col min="3594" max="3594" width="14.42578125" style="62" customWidth="1"/>
    <col min="3595" max="3595" width="12.7109375" style="62" customWidth="1"/>
    <col min="3596" max="3596" width="17.5703125" style="62" customWidth="1"/>
    <col min="3597" max="3597" width="12.5703125" style="62" customWidth="1"/>
    <col min="3598" max="3598" width="17" style="62" customWidth="1"/>
    <col min="3599" max="3599" width="13.140625" style="62" customWidth="1"/>
    <col min="3600" max="3604" width="14.7109375" style="62" customWidth="1"/>
    <col min="3605" max="3605" width="12.5703125" style="62" customWidth="1"/>
    <col min="3606" max="3606" width="9.85546875" style="62" customWidth="1"/>
    <col min="3607" max="3607" width="14.7109375" style="62" customWidth="1"/>
    <col min="3608" max="3608" width="19.140625" style="62" customWidth="1"/>
    <col min="3609" max="3609" width="20.28515625" style="62" customWidth="1"/>
    <col min="3610" max="3610" width="13" style="62" customWidth="1"/>
    <col min="3611" max="3840" width="9.140625" style="62"/>
    <col min="3841" max="3841" width="17.85546875" style="62" customWidth="1"/>
    <col min="3842" max="3842" width="16.85546875" style="62" customWidth="1"/>
    <col min="3843" max="3843" width="14.5703125" style="62" customWidth="1"/>
    <col min="3844" max="3845" width="15.85546875" style="62" customWidth="1"/>
    <col min="3846" max="3846" width="17.140625" style="62" customWidth="1"/>
    <col min="3847" max="3847" width="13.140625" style="62" customWidth="1"/>
    <col min="3848" max="3848" width="12.140625" style="62" customWidth="1"/>
    <col min="3849" max="3849" width="12.85546875" style="62" customWidth="1"/>
    <col min="3850" max="3850" width="14.42578125" style="62" customWidth="1"/>
    <col min="3851" max="3851" width="12.7109375" style="62" customWidth="1"/>
    <col min="3852" max="3852" width="17.5703125" style="62" customWidth="1"/>
    <col min="3853" max="3853" width="12.5703125" style="62" customWidth="1"/>
    <col min="3854" max="3854" width="17" style="62" customWidth="1"/>
    <col min="3855" max="3855" width="13.140625" style="62" customWidth="1"/>
    <col min="3856" max="3860" width="14.7109375" style="62" customWidth="1"/>
    <col min="3861" max="3861" width="12.5703125" style="62" customWidth="1"/>
    <col min="3862" max="3862" width="9.85546875" style="62" customWidth="1"/>
    <col min="3863" max="3863" width="14.7109375" style="62" customWidth="1"/>
    <col min="3864" max="3864" width="19.140625" style="62" customWidth="1"/>
    <col min="3865" max="3865" width="20.28515625" style="62" customWidth="1"/>
    <col min="3866" max="3866" width="13" style="62" customWidth="1"/>
    <col min="3867" max="4096" width="9.140625" style="62"/>
    <col min="4097" max="4097" width="17.85546875" style="62" customWidth="1"/>
    <col min="4098" max="4098" width="16.85546875" style="62" customWidth="1"/>
    <col min="4099" max="4099" width="14.5703125" style="62" customWidth="1"/>
    <col min="4100" max="4101" width="15.85546875" style="62" customWidth="1"/>
    <col min="4102" max="4102" width="17.140625" style="62" customWidth="1"/>
    <col min="4103" max="4103" width="13.140625" style="62" customWidth="1"/>
    <col min="4104" max="4104" width="12.140625" style="62" customWidth="1"/>
    <col min="4105" max="4105" width="12.85546875" style="62" customWidth="1"/>
    <col min="4106" max="4106" width="14.42578125" style="62" customWidth="1"/>
    <col min="4107" max="4107" width="12.7109375" style="62" customWidth="1"/>
    <col min="4108" max="4108" width="17.5703125" style="62" customWidth="1"/>
    <col min="4109" max="4109" width="12.5703125" style="62" customWidth="1"/>
    <col min="4110" max="4110" width="17" style="62" customWidth="1"/>
    <col min="4111" max="4111" width="13.140625" style="62" customWidth="1"/>
    <col min="4112" max="4116" width="14.7109375" style="62" customWidth="1"/>
    <col min="4117" max="4117" width="12.5703125" style="62" customWidth="1"/>
    <col min="4118" max="4118" width="9.85546875" style="62" customWidth="1"/>
    <col min="4119" max="4119" width="14.7109375" style="62" customWidth="1"/>
    <col min="4120" max="4120" width="19.140625" style="62" customWidth="1"/>
    <col min="4121" max="4121" width="20.28515625" style="62" customWidth="1"/>
    <col min="4122" max="4122" width="13" style="62" customWidth="1"/>
    <col min="4123" max="4352" width="9.140625" style="62"/>
    <col min="4353" max="4353" width="17.85546875" style="62" customWidth="1"/>
    <col min="4354" max="4354" width="16.85546875" style="62" customWidth="1"/>
    <col min="4355" max="4355" width="14.5703125" style="62" customWidth="1"/>
    <col min="4356" max="4357" width="15.85546875" style="62" customWidth="1"/>
    <col min="4358" max="4358" width="17.140625" style="62" customWidth="1"/>
    <col min="4359" max="4359" width="13.140625" style="62" customWidth="1"/>
    <col min="4360" max="4360" width="12.140625" style="62" customWidth="1"/>
    <col min="4361" max="4361" width="12.85546875" style="62" customWidth="1"/>
    <col min="4362" max="4362" width="14.42578125" style="62" customWidth="1"/>
    <col min="4363" max="4363" width="12.7109375" style="62" customWidth="1"/>
    <col min="4364" max="4364" width="17.5703125" style="62" customWidth="1"/>
    <col min="4365" max="4365" width="12.5703125" style="62" customWidth="1"/>
    <col min="4366" max="4366" width="17" style="62" customWidth="1"/>
    <col min="4367" max="4367" width="13.140625" style="62" customWidth="1"/>
    <col min="4368" max="4372" width="14.7109375" style="62" customWidth="1"/>
    <col min="4373" max="4373" width="12.5703125" style="62" customWidth="1"/>
    <col min="4374" max="4374" width="9.85546875" style="62" customWidth="1"/>
    <col min="4375" max="4375" width="14.7109375" style="62" customWidth="1"/>
    <col min="4376" max="4376" width="19.140625" style="62" customWidth="1"/>
    <col min="4377" max="4377" width="20.28515625" style="62" customWidth="1"/>
    <col min="4378" max="4378" width="13" style="62" customWidth="1"/>
    <col min="4379" max="4608" width="9.140625" style="62"/>
    <col min="4609" max="4609" width="17.85546875" style="62" customWidth="1"/>
    <col min="4610" max="4610" width="16.85546875" style="62" customWidth="1"/>
    <col min="4611" max="4611" width="14.5703125" style="62" customWidth="1"/>
    <col min="4612" max="4613" width="15.85546875" style="62" customWidth="1"/>
    <col min="4614" max="4614" width="17.140625" style="62" customWidth="1"/>
    <col min="4615" max="4615" width="13.140625" style="62" customWidth="1"/>
    <col min="4616" max="4616" width="12.140625" style="62" customWidth="1"/>
    <col min="4617" max="4617" width="12.85546875" style="62" customWidth="1"/>
    <col min="4618" max="4618" width="14.42578125" style="62" customWidth="1"/>
    <col min="4619" max="4619" width="12.7109375" style="62" customWidth="1"/>
    <col min="4620" max="4620" width="17.5703125" style="62" customWidth="1"/>
    <col min="4621" max="4621" width="12.5703125" style="62" customWidth="1"/>
    <col min="4622" max="4622" width="17" style="62" customWidth="1"/>
    <col min="4623" max="4623" width="13.140625" style="62" customWidth="1"/>
    <col min="4624" max="4628" width="14.7109375" style="62" customWidth="1"/>
    <col min="4629" max="4629" width="12.5703125" style="62" customWidth="1"/>
    <col min="4630" max="4630" width="9.85546875" style="62" customWidth="1"/>
    <col min="4631" max="4631" width="14.7109375" style="62" customWidth="1"/>
    <col min="4632" max="4632" width="19.140625" style="62" customWidth="1"/>
    <col min="4633" max="4633" width="20.28515625" style="62" customWidth="1"/>
    <col min="4634" max="4634" width="13" style="62" customWidth="1"/>
    <col min="4635" max="4864" width="9.140625" style="62"/>
    <col min="4865" max="4865" width="17.85546875" style="62" customWidth="1"/>
    <col min="4866" max="4866" width="16.85546875" style="62" customWidth="1"/>
    <col min="4867" max="4867" width="14.5703125" style="62" customWidth="1"/>
    <col min="4868" max="4869" width="15.85546875" style="62" customWidth="1"/>
    <col min="4870" max="4870" width="17.140625" style="62" customWidth="1"/>
    <col min="4871" max="4871" width="13.140625" style="62" customWidth="1"/>
    <col min="4872" max="4872" width="12.140625" style="62" customWidth="1"/>
    <col min="4873" max="4873" width="12.85546875" style="62" customWidth="1"/>
    <col min="4874" max="4874" width="14.42578125" style="62" customWidth="1"/>
    <col min="4875" max="4875" width="12.7109375" style="62" customWidth="1"/>
    <col min="4876" max="4876" width="17.5703125" style="62" customWidth="1"/>
    <col min="4877" max="4877" width="12.5703125" style="62" customWidth="1"/>
    <col min="4878" max="4878" width="17" style="62" customWidth="1"/>
    <col min="4879" max="4879" width="13.140625" style="62" customWidth="1"/>
    <col min="4880" max="4884" width="14.7109375" style="62" customWidth="1"/>
    <col min="4885" max="4885" width="12.5703125" style="62" customWidth="1"/>
    <col min="4886" max="4886" width="9.85546875" style="62" customWidth="1"/>
    <col min="4887" max="4887" width="14.7109375" style="62" customWidth="1"/>
    <col min="4888" max="4888" width="19.140625" style="62" customWidth="1"/>
    <col min="4889" max="4889" width="20.28515625" style="62" customWidth="1"/>
    <col min="4890" max="4890" width="13" style="62" customWidth="1"/>
    <col min="4891" max="5120" width="9.140625" style="62"/>
    <col min="5121" max="5121" width="17.85546875" style="62" customWidth="1"/>
    <col min="5122" max="5122" width="16.85546875" style="62" customWidth="1"/>
    <col min="5123" max="5123" width="14.5703125" style="62" customWidth="1"/>
    <col min="5124" max="5125" width="15.85546875" style="62" customWidth="1"/>
    <col min="5126" max="5126" width="17.140625" style="62" customWidth="1"/>
    <col min="5127" max="5127" width="13.140625" style="62" customWidth="1"/>
    <col min="5128" max="5128" width="12.140625" style="62" customWidth="1"/>
    <col min="5129" max="5129" width="12.85546875" style="62" customWidth="1"/>
    <col min="5130" max="5130" width="14.42578125" style="62" customWidth="1"/>
    <col min="5131" max="5131" width="12.7109375" style="62" customWidth="1"/>
    <col min="5132" max="5132" width="17.5703125" style="62" customWidth="1"/>
    <col min="5133" max="5133" width="12.5703125" style="62" customWidth="1"/>
    <col min="5134" max="5134" width="17" style="62" customWidth="1"/>
    <col min="5135" max="5135" width="13.140625" style="62" customWidth="1"/>
    <col min="5136" max="5140" width="14.7109375" style="62" customWidth="1"/>
    <col min="5141" max="5141" width="12.5703125" style="62" customWidth="1"/>
    <col min="5142" max="5142" width="9.85546875" style="62" customWidth="1"/>
    <col min="5143" max="5143" width="14.7109375" style="62" customWidth="1"/>
    <col min="5144" max="5144" width="19.140625" style="62" customWidth="1"/>
    <col min="5145" max="5145" width="20.28515625" style="62" customWidth="1"/>
    <col min="5146" max="5146" width="13" style="62" customWidth="1"/>
    <col min="5147" max="5376" width="9.140625" style="62"/>
    <col min="5377" max="5377" width="17.85546875" style="62" customWidth="1"/>
    <col min="5378" max="5378" width="16.85546875" style="62" customWidth="1"/>
    <col min="5379" max="5379" width="14.5703125" style="62" customWidth="1"/>
    <col min="5380" max="5381" width="15.85546875" style="62" customWidth="1"/>
    <col min="5382" max="5382" width="17.140625" style="62" customWidth="1"/>
    <col min="5383" max="5383" width="13.140625" style="62" customWidth="1"/>
    <col min="5384" max="5384" width="12.140625" style="62" customWidth="1"/>
    <col min="5385" max="5385" width="12.85546875" style="62" customWidth="1"/>
    <col min="5386" max="5386" width="14.42578125" style="62" customWidth="1"/>
    <col min="5387" max="5387" width="12.7109375" style="62" customWidth="1"/>
    <col min="5388" max="5388" width="17.5703125" style="62" customWidth="1"/>
    <col min="5389" max="5389" width="12.5703125" style="62" customWidth="1"/>
    <col min="5390" max="5390" width="17" style="62" customWidth="1"/>
    <col min="5391" max="5391" width="13.140625" style="62" customWidth="1"/>
    <col min="5392" max="5396" width="14.7109375" style="62" customWidth="1"/>
    <col min="5397" max="5397" width="12.5703125" style="62" customWidth="1"/>
    <col min="5398" max="5398" width="9.85546875" style="62" customWidth="1"/>
    <col min="5399" max="5399" width="14.7109375" style="62" customWidth="1"/>
    <col min="5400" max="5400" width="19.140625" style="62" customWidth="1"/>
    <col min="5401" max="5401" width="20.28515625" style="62" customWidth="1"/>
    <col min="5402" max="5402" width="13" style="62" customWidth="1"/>
    <col min="5403" max="5632" width="9.140625" style="62"/>
    <col min="5633" max="5633" width="17.85546875" style="62" customWidth="1"/>
    <col min="5634" max="5634" width="16.85546875" style="62" customWidth="1"/>
    <col min="5635" max="5635" width="14.5703125" style="62" customWidth="1"/>
    <col min="5636" max="5637" width="15.85546875" style="62" customWidth="1"/>
    <col min="5638" max="5638" width="17.140625" style="62" customWidth="1"/>
    <col min="5639" max="5639" width="13.140625" style="62" customWidth="1"/>
    <col min="5640" max="5640" width="12.140625" style="62" customWidth="1"/>
    <col min="5641" max="5641" width="12.85546875" style="62" customWidth="1"/>
    <col min="5642" max="5642" width="14.42578125" style="62" customWidth="1"/>
    <col min="5643" max="5643" width="12.7109375" style="62" customWidth="1"/>
    <col min="5644" max="5644" width="17.5703125" style="62" customWidth="1"/>
    <col min="5645" max="5645" width="12.5703125" style="62" customWidth="1"/>
    <col min="5646" max="5646" width="17" style="62" customWidth="1"/>
    <col min="5647" max="5647" width="13.140625" style="62" customWidth="1"/>
    <col min="5648" max="5652" width="14.7109375" style="62" customWidth="1"/>
    <col min="5653" max="5653" width="12.5703125" style="62" customWidth="1"/>
    <col min="5654" max="5654" width="9.85546875" style="62" customWidth="1"/>
    <col min="5655" max="5655" width="14.7109375" style="62" customWidth="1"/>
    <col min="5656" max="5656" width="19.140625" style="62" customWidth="1"/>
    <col min="5657" max="5657" width="20.28515625" style="62" customWidth="1"/>
    <col min="5658" max="5658" width="13" style="62" customWidth="1"/>
    <col min="5659" max="5888" width="9.140625" style="62"/>
    <col min="5889" max="5889" width="17.85546875" style="62" customWidth="1"/>
    <col min="5890" max="5890" width="16.85546875" style="62" customWidth="1"/>
    <col min="5891" max="5891" width="14.5703125" style="62" customWidth="1"/>
    <col min="5892" max="5893" width="15.85546875" style="62" customWidth="1"/>
    <col min="5894" max="5894" width="17.140625" style="62" customWidth="1"/>
    <col min="5895" max="5895" width="13.140625" style="62" customWidth="1"/>
    <col min="5896" max="5896" width="12.140625" style="62" customWidth="1"/>
    <col min="5897" max="5897" width="12.85546875" style="62" customWidth="1"/>
    <col min="5898" max="5898" width="14.42578125" style="62" customWidth="1"/>
    <col min="5899" max="5899" width="12.7109375" style="62" customWidth="1"/>
    <col min="5900" max="5900" width="17.5703125" style="62" customWidth="1"/>
    <col min="5901" max="5901" width="12.5703125" style="62" customWidth="1"/>
    <col min="5902" max="5902" width="17" style="62" customWidth="1"/>
    <col min="5903" max="5903" width="13.140625" style="62" customWidth="1"/>
    <col min="5904" max="5908" width="14.7109375" style="62" customWidth="1"/>
    <col min="5909" max="5909" width="12.5703125" style="62" customWidth="1"/>
    <col min="5910" max="5910" width="9.85546875" style="62" customWidth="1"/>
    <col min="5911" max="5911" width="14.7109375" style="62" customWidth="1"/>
    <col min="5912" max="5912" width="19.140625" style="62" customWidth="1"/>
    <col min="5913" max="5913" width="20.28515625" style="62" customWidth="1"/>
    <col min="5914" max="5914" width="13" style="62" customWidth="1"/>
    <col min="5915" max="6144" width="9.140625" style="62"/>
    <col min="6145" max="6145" width="17.85546875" style="62" customWidth="1"/>
    <col min="6146" max="6146" width="16.85546875" style="62" customWidth="1"/>
    <col min="6147" max="6147" width="14.5703125" style="62" customWidth="1"/>
    <col min="6148" max="6149" width="15.85546875" style="62" customWidth="1"/>
    <col min="6150" max="6150" width="17.140625" style="62" customWidth="1"/>
    <col min="6151" max="6151" width="13.140625" style="62" customWidth="1"/>
    <col min="6152" max="6152" width="12.140625" style="62" customWidth="1"/>
    <col min="6153" max="6153" width="12.85546875" style="62" customWidth="1"/>
    <col min="6154" max="6154" width="14.42578125" style="62" customWidth="1"/>
    <col min="6155" max="6155" width="12.7109375" style="62" customWidth="1"/>
    <col min="6156" max="6156" width="17.5703125" style="62" customWidth="1"/>
    <col min="6157" max="6157" width="12.5703125" style="62" customWidth="1"/>
    <col min="6158" max="6158" width="17" style="62" customWidth="1"/>
    <col min="6159" max="6159" width="13.140625" style="62" customWidth="1"/>
    <col min="6160" max="6164" width="14.7109375" style="62" customWidth="1"/>
    <col min="6165" max="6165" width="12.5703125" style="62" customWidth="1"/>
    <col min="6166" max="6166" width="9.85546875" style="62" customWidth="1"/>
    <col min="6167" max="6167" width="14.7109375" style="62" customWidth="1"/>
    <col min="6168" max="6168" width="19.140625" style="62" customWidth="1"/>
    <col min="6169" max="6169" width="20.28515625" style="62" customWidth="1"/>
    <col min="6170" max="6170" width="13" style="62" customWidth="1"/>
    <col min="6171" max="6400" width="9.140625" style="62"/>
    <col min="6401" max="6401" width="17.85546875" style="62" customWidth="1"/>
    <col min="6402" max="6402" width="16.85546875" style="62" customWidth="1"/>
    <col min="6403" max="6403" width="14.5703125" style="62" customWidth="1"/>
    <col min="6404" max="6405" width="15.85546875" style="62" customWidth="1"/>
    <col min="6406" max="6406" width="17.140625" style="62" customWidth="1"/>
    <col min="6407" max="6407" width="13.140625" style="62" customWidth="1"/>
    <col min="6408" max="6408" width="12.140625" style="62" customWidth="1"/>
    <col min="6409" max="6409" width="12.85546875" style="62" customWidth="1"/>
    <col min="6410" max="6410" width="14.42578125" style="62" customWidth="1"/>
    <col min="6411" max="6411" width="12.7109375" style="62" customWidth="1"/>
    <col min="6412" max="6412" width="17.5703125" style="62" customWidth="1"/>
    <col min="6413" max="6413" width="12.5703125" style="62" customWidth="1"/>
    <col min="6414" max="6414" width="17" style="62" customWidth="1"/>
    <col min="6415" max="6415" width="13.140625" style="62" customWidth="1"/>
    <col min="6416" max="6420" width="14.7109375" style="62" customWidth="1"/>
    <col min="6421" max="6421" width="12.5703125" style="62" customWidth="1"/>
    <col min="6422" max="6422" width="9.85546875" style="62" customWidth="1"/>
    <col min="6423" max="6423" width="14.7109375" style="62" customWidth="1"/>
    <col min="6424" max="6424" width="19.140625" style="62" customWidth="1"/>
    <col min="6425" max="6425" width="20.28515625" style="62" customWidth="1"/>
    <col min="6426" max="6426" width="13" style="62" customWidth="1"/>
    <col min="6427" max="6656" width="9.140625" style="62"/>
    <col min="6657" max="6657" width="17.85546875" style="62" customWidth="1"/>
    <col min="6658" max="6658" width="16.85546875" style="62" customWidth="1"/>
    <col min="6659" max="6659" width="14.5703125" style="62" customWidth="1"/>
    <col min="6660" max="6661" width="15.85546875" style="62" customWidth="1"/>
    <col min="6662" max="6662" width="17.140625" style="62" customWidth="1"/>
    <col min="6663" max="6663" width="13.140625" style="62" customWidth="1"/>
    <col min="6664" max="6664" width="12.140625" style="62" customWidth="1"/>
    <col min="6665" max="6665" width="12.85546875" style="62" customWidth="1"/>
    <col min="6666" max="6666" width="14.42578125" style="62" customWidth="1"/>
    <col min="6667" max="6667" width="12.7109375" style="62" customWidth="1"/>
    <col min="6668" max="6668" width="17.5703125" style="62" customWidth="1"/>
    <col min="6669" max="6669" width="12.5703125" style="62" customWidth="1"/>
    <col min="6670" max="6670" width="17" style="62" customWidth="1"/>
    <col min="6671" max="6671" width="13.140625" style="62" customWidth="1"/>
    <col min="6672" max="6676" width="14.7109375" style="62" customWidth="1"/>
    <col min="6677" max="6677" width="12.5703125" style="62" customWidth="1"/>
    <col min="6678" max="6678" width="9.85546875" style="62" customWidth="1"/>
    <col min="6679" max="6679" width="14.7109375" style="62" customWidth="1"/>
    <col min="6680" max="6680" width="19.140625" style="62" customWidth="1"/>
    <col min="6681" max="6681" width="20.28515625" style="62" customWidth="1"/>
    <col min="6682" max="6682" width="13" style="62" customWidth="1"/>
    <col min="6683" max="6912" width="9.140625" style="62"/>
    <col min="6913" max="6913" width="17.85546875" style="62" customWidth="1"/>
    <col min="6914" max="6914" width="16.85546875" style="62" customWidth="1"/>
    <col min="6915" max="6915" width="14.5703125" style="62" customWidth="1"/>
    <col min="6916" max="6917" width="15.85546875" style="62" customWidth="1"/>
    <col min="6918" max="6918" width="17.140625" style="62" customWidth="1"/>
    <col min="6919" max="6919" width="13.140625" style="62" customWidth="1"/>
    <col min="6920" max="6920" width="12.140625" style="62" customWidth="1"/>
    <col min="6921" max="6921" width="12.85546875" style="62" customWidth="1"/>
    <col min="6922" max="6922" width="14.42578125" style="62" customWidth="1"/>
    <col min="6923" max="6923" width="12.7109375" style="62" customWidth="1"/>
    <col min="6924" max="6924" width="17.5703125" style="62" customWidth="1"/>
    <col min="6925" max="6925" width="12.5703125" style="62" customWidth="1"/>
    <col min="6926" max="6926" width="17" style="62" customWidth="1"/>
    <col min="6927" max="6927" width="13.140625" style="62" customWidth="1"/>
    <col min="6928" max="6932" width="14.7109375" style="62" customWidth="1"/>
    <col min="6933" max="6933" width="12.5703125" style="62" customWidth="1"/>
    <col min="6934" max="6934" width="9.85546875" style="62" customWidth="1"/>
    <col min="6935" max="6935" width="14.7109375" style="62" customWidth="1"/>
    <col min="6936" max="6936" width="19.140625" style="62" customWidth="1"/>
    <col min="6937" max="6937" width="20.28515625" style="62" customWidth="1"/>
    <col min="6938" max="6938" width="13" style="62" customWidth="1"/>
    <col min="6939" max="7168" width="9.140625" style="62"/>
    <col min="7169" max="7169" width="17.85546875" style="62" customWidth="1"/>
    <col min="7170" max="7170" width="16.85546875" style="62" customWidth="1"/>
    <col min="7171" max="7171" width="14.5703125" style="62" customWidth="1"/>
    <col min="7172" max="7173" width="15.85546875" style="62" customWidth="1"/>
    <col min="7174" max="7174" width="17.140625" style="62" customWidth="1"/>
    <col min="7175" max="7175" width="13.140625" style="62" customWidth="1"/>
    <col min="7176" max="7176" width="12.140625" style="62" customWidth="1"/>
    <col min="7177" max="7177" width="12.85546875" style="62" customWidth="1"/>
    <col min="7178" max="7178" width="14.42578125" style="62" customWidth="1"/>
    <col min="7179" max="7179" width="12.7109375" style="62" customWidth="1"/>
    <col min="7180" max="7180" width="17.5703125" style="62" customWidth="1"/>
    <col min="7181" max="7181" width="12.5703125" style="62" customWidth="1"/>
    <col min="7182" max="7182" width="17" style="62" customWidth="1"/>
    <col min="7183" max="7183" width="13.140625" style="62" customWidth="1"/>
    <col min="7184" max="7188" width="14.7109375" style="62" customWidth="1"/>
    <col min="7189" max="7189" width="12.5703125" style="62" customWidth="1"/>
    <col min="7190" max="7190" width="9.85546875" style="62" customWidth="1"/>
    <col min="7191" max="7191" width="14.7109375" style="62" customWidth="1"/>
    <col min="7192" max="7192" width="19.140625" style="62" customWidth="1"/>
    <col min="7193" max="7193" width="20.28515625" style="62" customWidth="1"/>
    <col min="7194" max="7194" width="13" style="62" customWidth="1"/>
    <col min="7195" max="7424" width="9.140625" style="62"/>
    <col min="7425" max="7425" width="17.85546875" style="62" customWidth="1"/>
    <col min="7426" max="7426" width="16.85546875" style="62" customWidth="1"/>
    <col min="7427" max="7427" width="14.5703125" style="62" customWidth="1"/>
    <col min="7428" max="7429" width="15.85546875" style="62" customWidth="1"/>
    <col min="7430" max="7430" width="17.140625" style="62" customWidth="1"/>
    <col min="7431" max="7431" width="13.140625" style="62" customWidth="1"/>
    <col min="7432" max="7432" width="12.140625" style="62" customWidth="1"/>
    <col min="7433" max="7433" width="12.85546875" style="62" customWidth="1"/>
    <col min="7434" max="7434" width="14.42578125" style="62" customWidth="1"/>
    <col min="7435" max="7435" width="12.7109375" style="62" customWidth="1"/>
    <col min="7436" max="7436" width="17.5703125" style="62" customWidth="1"/>
    <col min="7437" max="7437" width="12.5703125" style="62" customWidth="1"/>
    <col min="7438" max="7438" width="17" style="62" customWidth="1"/>
    <col min="7439" max="7439" width="13.140625" style="62" customWidth="1"/>
    <col min="7440" max="7444" width="14.7109375" style="62" customWidth="1"/>
    <col min="7445" max="7445" width="12.5703125" style="62" customWidth="1"/>
    <col min="7446" max="7446" width="9.85546875" style="62" customWidth="1"/>
    <col min="7447" max="7447" width="14.7109375" style="62" customWidth="1"/>
    <col min="7448" max="7448" width="19.140625" style="62" customWidth="1"/>
    <col min="7449" max="7449" width="20.28515625" style="62" customWidth="1"/>
    <col min="7450" max="7450" width="13" style="62" customWidth="1"/>
    <col min="7451" max="7680" width="9.140625" style="62"/>
    <col min="7681" max="7681" width="17.85546875" style="62" customWidth="1"/>
    <col min="7682" max="7682" width="16.85546875" style="62" customWidth="1"/>
    <col min="7683" max="7683" width="14.5703125" style="62" customWidth="1"/>
    <col min="7684" max="7685" width="15.85546875" style="62" customWidth="1"/>
    <col min="7686" max="7686" width="17.140625" style="62" customWidth="1"/>
    <col min="7687" max="7687" width="13.140625" style="62" customWidth="1"/>
    <col min="7688" max="7688" width="12.140625" style="62" customWidth="1"/>
    <col min="7689" max="7689" width="12.85546875" style="62" customWidth="1"/>
    <col min="7690" max="7690" width="14.42578125" style="62" customWidth="1"/>
    <col min="7691" max="7691" width="12.7109375" style="62" customWidth="1"/>
    <col min="7692" max="7692" width="17.5703125" style="62" customWidth="1"/>
    <col min="7693" max="7693" width="12.5703125" style="62" customWidth="1"/>
    <col min="7694" max="7694" width="17" style="62" customWidth="1"/>
    <col min="7695" max="7695" width="13.140625" style="62" customWidth="1"/>
    <col min="7696" max="7700" width="14.7109375" style="62" customWidth="1"/>
    <col min="7701" max="7701" width="12.5703125" style="62" customWidth="1"/>
    <col min="7702" max="7702" width="9.85546875" style="62" customWidth="1"/>
    <col min="7703" max="7703" width="14.7109375" style="62" customWidth="1"/>
    <col min="7704" max="7704" width="19.140625" style="62" customWidth="1"/>
    <col min="7705" max="7705" width="20.28515625" style="62" customWidth="1"/>
    <col min="7706" max="7706" width="13" style="62" customWidth="1"/>
    <col min="7707" max="7936" width="9.140625" style="62"/>
    <col min="7937" max="7937" width="17.85546875" style="62" customWidth="1"/>
    <col min="7938" max="7938" width="16.85546875" style="62" customWidth="1"/>
    <col min="7939" max="7939" width="14.5703125" style="62" customWidth="1"/>
    <col min="7940" max="7941" width="15.85546875" style="62" customWidth="1"/>
    <col min="7942" max="7942" width="17.140625" style="62" customWidth="1"/>
    <col min="7943" max="7943" width="13.140625" style="62" customWidth="1"/>
    <col min="7944" max="7944" width="12.140625" style="62" customWidth="1"/>
    <col min="7945" max="7945" width="12.85546875" style="62" customWidth="1"/>
    <col min="7946" max="7946" width="14.42578125" style="62" customWidth="1"/>
    <col min="7947" max="7947" width="12.7109375" style="62" customWidth="1"/>
    <col min="7948" max="7948" width="17.5703125" style="62" customWidth="1"/>
    <col min="7949" max="7949" width="12.5703125" style="62" customWidth="1"/>
    <col min="7950" max="7950" width="17" style="62" customWidth="1"/>
    <col min="7951" max="7951" width="13.140625" style="62" customWidth="1"/>
    <col min="7952" max="7956" width="14.7109375" style="62" customWidth="1"/>
    <col min="7957" max="7957" width="12.5703125" style="62" customWidth="1"/>
    <col min="7958" max="7958" width="9.85546875" style="62" customWidth="1"/>
    <col min="7959" max="7959" width="14.7109375" style="62" customWidth="1"/>
    <col min="7960" max="7960" width="19.140625" style="62" customWidth="1"/>
    <col min="7961" max="7961" width="20.28515625" style="62" customWidth="1"/>
    <col min="7962" max="7962" width="13" style="62" customWidth="1"/>
    <col min="7963" max="8192" width="9.140625" style="62"/>
    <col min="8193" max="8193" width="17.85546875" style="62" customWidth="1"/>
    <col min="8194" max="8194" width="16.85546875" style="62" customWidth="1"/>
    <col min="8195" max="8195" width="14.5703125" style="62" customWidth="1"/>
    <col min="8196" max="8197" width="15.85546875" style="62" customWidth="1"/>
    <col min="8198" max="8198" width="17.140625" style="62" customWidth="1"/>
    <col min="8199" max="8199" width="13.140625" style="62" customWidth="1"/>
    <col min="8200" max="8200" width="12.140625" style="62" customWidth="1"/>
    <col min="8201" max="8201" width="12.85546875" style="62" customWidth="1"/>
    <col min="8202" max="8202" width="14.42578125" style="62" customWidth="1"/>
    <col min="8203" max="8203" width="12.7109375" style="62" customWidth="1"/>
    <col min="8204" max="8204" width="17.5703125" style="62" customWidth="1"/>
    <col min="8205" max="8205" width="12.5703125" style="62" customWidth="1"/>
    <col min="8206" max="8206" width="17" style="62" customWidth="1"/>
    <col min="8207" max="8207" width="13.140625" style="62" customWidth="1"/>
    <col min="8208" max="8212" width="14.7109375" style="62" customWidth="1"/>
    <col min="8213" max="8213" width="12.5703125" style="62" customWidth="1"/>
    <col min="8214" max="8214" width="9.85546875" style="62" customWidth="1"/>
    <col min="8215" max="8215" width="14.7109375" style="62" customWidth="1"/>
    <col min="8216" max="8216" width="19.140625" style="62" customWidth="1"/>
    <col min="8217" max="8217" width="20.28515625" style="62" customWidth="1"/>
    <col min="8218" max="8218" width="13" style="62" customWidth="1"/>
    <col min="8219" max="8448" width="9.140625" style="62"/>
    <col min="8449" max="8449" width="17.85546875" style="62" customWidth="1"/>
    <col min="8450" max="8450" width="16.85546875" style="62" customWidth="1"/>
    <col min="8451" max="8451" width="14.5703125" style="62" customWidth="1"/>
    <col min="8452" max="8453" width="15.85546875" style="62" customWidth="1"/>
    <col min="8454" max="8454" width="17.140625" style="62" customWidth="1"/>
    <col min="8455" max="8455" width="13.140625" style="62" customWidth="1"/>
    <col min="8456" max="8456" width="12.140625" style="62" customWidth="1"/>
    <col min="8457" max="8457" width="12.85546875" style="62" customWidth="1"/>
    <col min="8458" max="8458" width="14.42578125" style="62" customWidth="1"/>
    <col min="8459" max="8459" width="12.7109375" style="62" customWidth="1"/>
    <col min="8460" max="8460" width="17.5703125" style="62" customWidth="1"/>
    <col min="8461" max="8461" width="12.5703125" style="62" customWidth="1"/>
    <col min="8462" max="8462" width="17" style="62" customWidth="1"/>
    <col min="8463" max="8463" width="13.140625" style="62" customWidth="1"/>
    <col min="8464" max="8468" width="14.7109375" style="62" customWidth="1"/>
    <col min="8469" max="8469" width="12.5703125" style="62" customWidth="1"/>
    <col min="8470" max="8470" width="9.85546875" style="62" customWidth="1"/>
    <col min="8471" max="8471" width="14.7109375" style="62" customWidth="1"/>
    <col min="8472" max="8472" width="19.140625" style="62" customWidth="1"/>
    <col min="8473" max="8473" width="20.28515625" style="62" customWidth="1"/>
    <col min="8474" max="8474" width="13" style="62" customWidth="1"/>
    <col min="8475" max="8704" width="9.140625" style="62"/>
    <col min="8705" max="8705" width="17.85546875" style="62" customWidth="1"/>
    <col min="8706" max="8706" width="16.85546875" style="62" customWidth="1"/>
    <col min="8707" max="8707" width="14.5703125" style="62" customWidth="1"/>
    <col min="8708" max="8709" width="15.85546875" style="62" customWidth="1"/>
    <col min="8710" max="8710" width="17.140625" style="62" customWidth="1"/>
    <col min="8711" max="8711" width="13.140625" style="62" customWidth="1"/>
    <col min="8712" max="8712" width="12.140625" style="62" customWidth="1"/>
    <col min="8713" max="8713" width="12.85546875" style="62" customWidth="1"/>
    <col min="8714" max="8714" width="14.42578125" style="62" customWidth="1"/>
    <col min="8715" max="8715" width="12.7109375" style="62" customWidth="1"/>
    <col min="8716" max="8716" width="17.5703125" style="62" customWidth="1"/>
    <col min="8717" max="8717" width="12.5703125" style="62" customWidth="1"/>
    <col min="8718" max="8718" width="17" style="62" customWidth="1"/>
    <col min="8719" max="8719" width="13.140625" style="62" customWidth="1"/>
    <col min="8720" max="8724" width="14.7109375" style="62" customWidth="1"/>
    <col min="8725" max="8725" width="12.5703125" style="62" customWidth="1"/>
    <col min="8726" max="8726" width="9.85546875" style="62" customWidth="1"/>
    <col min="8727" max="8727" width="14.7109375" style="62" customWidth="1"/>
    <col min="8728" max="8728" width="19.140625" style="62" customWidth="1"/>
    <col min="8729" max="8729" width="20.28515625" style="62" customWidth="1"/>
    <col min="8730" max="8730" width="13" style="62" customWidth="1"/>
    <col min="8731" max="8960" width="9.140625" style="62"/>
    <col min="8961" max="8961" width="17.85546875" style="62" customWidth="1"/>
    <col min="8962" max="8962" width="16.85546875" style="62" customWidth="1"/>
    <col min="8963" max="8963" width="14.5703125" style="62" customWidth="1"/>
    <col min="8964" max="8965" width="15.85546875" style="62" customWidth="1"/>
    <col min="8966" max="8966" width="17.140625" style="62" customWidth="1"/>
    <col min="8967" max="8967" width="13.140625" style="62" customWidth="1"/>
    <col min="8968" max="8968" width="12.140625" style="62" customWidth="1"/>
    <col min="8969" max="8969" width="12.85546875" style="62" customWidth="1"/>
    <col min="8970" max="8970" width="14.42578125" style="62" customWidth="1"/>
    <col min="8971" max="8971" width="12.7109375" style="62" customWidth="1"/>
    <col min="8972" max="8972" width="17.5703125" style="62" customWidth="1"/>
    <col min="8973" max="8973" width="12.5703125" style="62" customWidth="1"/>
    <col min="8974" max="8974" width="17" style="62" customWidth="1"/>
    <col min="8975" max="8975" width="13.140625" style="62" customWidth="1"/>
    <col min="8976" max="8980" width="14.7109375" style="62" customWidth="1"/>
    <col min="8981" max="8981" width="12.5703125" style="62" customWidth="1"/>
    <col min="8982" max="8982" width="9.85546875" style="62" customWidth="1"/>
    <col min="8983" max="8983" width="14.7109375" style="62" customWidth="1"/>
    <col min="8984" max="8984" width="19.140625" style="62" customWidth="1"/>
    <col min="8985" max="8985" width="20.28515625" style="62" customWidth="1"/>
    <col min="8986" max="8986" width="13" style="62" customWidth="1"/>
    <col min="8987" max="9216" width="9.140625" style="62"/>
    <col min="9217" max="9217" width="17.85546875" style="62" customWidth="1"/>
    <col min="9218" max="9218" width="16.85546875" style="62" customWidth="1"/>
    <col min="9219" max="9219" width="14.5703125" style="62" customWidth="1"/>
    <col min="9220" max="9221" width="15.85546875" style="62" customWidth="1"/>
    <col min="9222" max="9222" width="17.140625" style="62" customWidth="1"/>
    <col min="9223" max="9223" width="13.140625" style="62" customWidth="1"/>
    <col min="9224" max="9224" width="12.140625" style="62" customWidth="1"/>
    <col min="9225" max="9225" width="12.85546875" style="62" customWidth="1"/>
    <col min="9226" max="9226" width="14.42578125" style="62" customWidth="1"/>
    <col min="9227" max="9227" width="12.7109375" style="62" customWidth="1"/>
    <col min="9228" max="9228" width="17.5703125" style="62" customWidth="1"/>
    <col min="9229" max="9229" width="12.5703125" style="62" customWidth="1"/>
    <col min="9230" max="9230" width="17" style="62" customWidth="1"/>
    <col min="9231" max="9231" width="13.140625" style="62" customWidth="1"/>
    <col min="9232" max="9236" width="14.7109375" style="62" customWidth="1"/>
    <col min="9237" max="9237" width="12.5703125" style="62" customWidth="1"/>
    <col min="9238" max="9238" width="9.85546875" style="62" customWidth="1"/>
    <col min="9239" max="9239" width="14.7109375" style="62" customWidth="1"/>
    <col min="9240" max="9240" width="19.140625" style="62" customWidth="1"/>
    <col min="9241" max="9241" width="20.28515625" style="62" customWidth="1"/>
    <col min="9242" max="9242" width="13" style="62" customWidth="1"/>
    <col min="9243" max="9472" width="9.140625" style="62"/>
    <col min="9473" max="9473" width="17.85546875" style="62" customWidth="1"/>
    <col min="9474" max="9474" width="16.85546875" style="62" customWidth="1"/>
    <col min="9475" max="9475" width="14.5703125" style="62" customWidth="1"/>
    <col min="9476" max="9477" width="15.85546875" style="62" customWidth="1"/>
    <col min="9478" max="9478" width="17.140625" style="62" customWidth="1"/>
    <col min="9479" max="9479" width="13.140625" style="62" customWidth="1"/>
    <col min="9480" max="9480" width="12.140625" style="62" customWidth="1"/>
    <col min="9481" max="9481" width="12.85546875" style="62" customWidth="1"/>
    <col min="9482" max="9482" width="14.42578125" style="62" customWidth="1"/>
    <col min="9483" max="9483" width="12.7109375" style="62" customWidth="1"/>
    <col min="9484" max="9484" width="17.5703125" style="62" customWidth="1"/>
    <col min="9485" max="9485" width="12.5703125" style="62" customWidth="1"/>
    <col min="9486" max="9486" width="17" style="62" customWidth="1"/>
    <col min="9487" max="9487" width="13.140625" style="62" customWidth="1"/>
    <col min="9488" max="9492" width="14.7109375" style="62" customWidth="1"/>
    <col min="9493" max="9493" width="12.5703125" style="62" customWidth="1"/>
    <col min="9494" max="9494" width="9.85546875" style="62" customWidth="1"/>
    <col min="9495" max="9495" width="14.7109375" style="62" customWidth="1"/>
    <col min="9496" max="9496" width="19.140625" style="62" customWidth="1"/>
    <col min="9497" max="9497" width="20.28515625" style="62" customWidth="1"/>
    <col min="9498" max="9498" width="13" style="62" customWidth="1"/>
    <col min="9499" max="9728" width="9.140625" style="62"/>
    <col min="9729" max="9729" width="17.85546875" style="62" customWidth="1"/>
    <col min="9730" max="9730" width="16.85546875" style="62" customWidth="1"/>
    <col min="9731" max="9731" width="14.5703125" style="62" customWidth="1"/>
    <col min="9732" max="9733" width="15.85546875" style="62" customWidth="1"/>
    <col min="9734" max="9734" width="17.140625" style="62" customWidth="1"/>
    <col min="9735" max="9735" width="13.140625" style="62" customWidth="1"/>
    <col min="9736" max="9736" width="12.140625" style="62" customWidth="1"/>
    <col min="9737" max="9737" width="12.85546875" style="62" customWidth="1"/>
    <col min="9738" max="9738" width="14.42578125" style="62" customWidth="1"/>
    <col min="9739" max="9739" width="12.7109375" style="62" customWidth="1"/>
    <col min="9740" max="9740" width="17.5703125" style="62" customWidth="1"/>
    <col min="9741" max="9741" width="12.5703125" style="62" customWidth="1"/>
    <col min="9742" max="9742" width="17" style="62" customWidth="1"/>
    <col min="9743" max="9743" width="13.140625" style="62" customWidth="1"/>
    <col min="9744" max="9748" width="14.7109375" style="62" customWidth="1"/>
    <col min="9749" max="9749" width="12.5703125" style="62" customWidth="1"/>
    <col min="9750" max="9750" width="9.85546875" style="62" customWidth="1"/>
    <col min="9751" max="9751" width="14.7109375" style="62" customWidth="1"/>
    <col min="9752" max="9752" width="19.140625" style="62" customWidth="1"/>
    <col min="9753" max="9753" width="20.28515625" style="62" customWidth="1"/>
    <col min="9754" max="9754" width="13" style="62" customWidth="1"/>
    <col min="9755" max="9984" width="9.140625" style="62"/>
    <col min="9985" max="9985" width="17.85546875" style="62" customWidth="1"/>
    <col min="9986" max="9986" width="16.85546875" style="62" customWidth="1"/>
    <col min="9987" max="9987" width="14.5703125" style="62" customWidth="1"/>
    <col min="9988" max="9989" width="15.85546875" style="62" customWidth="1"/>
    <col min="9990" max="9990" width="17.140625" style="62" customWidth="1"/>
    <col min="9991" max="9991" width="13.140625" style="62" customWidth="1"/>
    <col min="9992" max="9992" width="12.140625" style="62" customWidth="1"/>
    <col min="9993" max="9993" width="12.85546875" style="62" customWidth="1"/>
    <col min="9994" max="9994" width="14.42578125" style="62" customWidth="1"/>
    <col min="9995" max="9995" width="12.7109375" style="62" customWidth="1"/>
    <col min="9996" max="9996" width="17.5703125" style="62" customWidth="1"/>
    <col min="9997" max="9997" width="12.5703125" style="62" customWidth="1"/>
    <col min="9998" max="9998" width="17" style="62" customWidth="1"/>
    <col min="9999" max="9999" width="13.140625" style="62" customWidth="1"/>
    <col min="10000" max="10004" width="14.7109375" style="62" customWidth="1"/>
    <col min="10005" max="10005" width="12.5703125" style="62" customWidth="1"/>
    <col min="10006" max="10006" width="9.85546875" style="62" customWidth="1"/>
    <col min="10007" max="10007" width="14.7109375" style="62" customWidth="1"/>
    <col min="10008" max="10008" width="19.140625" style="62" customWidth="1"/>
    <col min="10009" max="10009" width="20.28515625" style="62" customWidth="1"/>
    <col min="10010" max="10010" width="13" style="62" customWidth="1"/>
    <col min="10011" max="10240" width="9.140625" style="62"/>
    <col min="10241" max="10241" width="17.85546875" style="62" customWidth="1"/>
    <col min="10242" max="10242" width="16.85546875" style="62" customWidth="1"/>
    <col min="10243" max="10243" width="14.5703125" style="62" customWidth="1"/>
    <col min="10244" max="10245" width="15.85546875" style="62" customWidth="1"/>
    <col min="10246" max="10246" width="17.140625" style="62" customWidth="1"/>
    <col min="10247" max="10247" width="13.140625" style="62" customWidth="1"/>
    <col min="10248" max="10248" width="12.140625" style="62" customWidth="1"/>
    <col min="10249" max="10249" width="12.85546875" style="62" customWidth="1"/>
    <col min="10250" max="10250" width="14.42578125" style="62" customWidth="1"/>
    <col min="10251" max="10251" width="12.7109375" style="62" customWidth="1"/>
    <col min="10252" max="10252" width="17.5703125" style="62" customWidth="1"/>
    <col min="10253" max="10253" width="12.5703125" style="62" customWidth="1"/>
    <col min="10254" max="10254" width="17" style="62" customWidth="1"/>
    <col min="10255" max="10255" width="13.140625" style="62" customWidth="1"/>
    <col min="10256" max="10260" width="14.7109375" style="62" customWidth="1"/>
    <col min="10261" max="10261" width="12.5703125" style="62" customWidth="1"/>
    <col min="10262" max="10262" width="9.85546875" style="62" customWidth="1"/>
    <col min="10263" max="10263" width="14.7109375" style="62" customWidth="1"/>
    <col min="10264" max="10264" width="19.140625" style="62" customWidth="1"/>
    <col min="10265" max="10265" width="20.28515625" style="62" customWidth="1"/>
    <col min="10266" max="10266" width="13" style="62" customWidth="1"/>
    <col min="10267" max="10496" width="9.140625" style="62"/>
    <col min="10497" max="10497" width="17.85546875" style="62" customWidth="1"/>
    <col min="10498" max="10498" width="16.85546875" style="62" customWidth="1"/>
    <col min="10499" max="10499" width="14.5703125" style="62" customWidth="1"/>
    <col min="10500" max="10501" width="15.85546875" style="62" customWidth="1"/>
    <col min="10502" max="10502" width="17.140625" style="62" customWidth="1"/>
    <col min="10503" max="10503" width="13.140625" style="62" customWidth="1"/>
    <col min="10504" max="10504" width="12.140625" style="62" customWidth="1"/>
    <col min="10505" max="10505" width="12.85546875" style="62" customWidth="1"/>
    <col min="10506" max="10506" width="14.42578125" style="62" customWidth="1"/>
    <col min="10507" max="10507" width="12.7109375" style="62" customWidth="1"/>
    <col min="10508" max="10508" width="17.5703125" style="62" customWidth="1"/>
    <col min="10509" max="10509" width="12.5703125" style="62" customWidth="1"/>
    <col min="10510" max="10510" width="17" style="62" customWidth="1"/>
    <col min="10511" max="10511" width="13.140625" style="62" customWidth="1"/>
    <col min="10512" max="10516" width="14.7109375" style="62" customWidth="1"/>
    <col min="10517" max="10517" width="12.5703125" style="62" customWidth="1"/>
    <col min="10518" max="10518" width="9.85546875" style="62" customWidth="1"/>
    <col min="10519" max="10519" width="14.7109375" style="62" customWidth="1"/>
    <col min="10520" max="10520" width="19.140625" style="62" customWidth="1"/>
    <col min="10521" max="10521" width="20.28515625" style="62" customWidth="1"/>
    <col min="10522" max="10522" width="13" style="62" customWidth="1"/>
    <col min="10523" max="10752" width="9.140625" style="62"/>
    <col min="10753" max="10753" width="17.85546875" style="62" customWidth="1"/>
    <col min="10754" max="10754" width="16.85546875" style="62" customWidth="1"/>
    <col min="10755" max="10755" width="14.5703125" style="62" customWidth="1"/>
    <col min="10756" max="10757" width="15.85546875" style="62" customWidth="1"/>
    <col min="10758" max="10758" width="17.140625" style="62" customWidth="1"/>
    <col min="10759" max="10759" width="13.140625" style="62" customWidth="1"/>
    <col min="10760" max="10760" width="12.140625" style="62" customWidth="1"/>
    <col min="10761" max="10761" width="12.85546875" style="62" customWidth="1"/>
    <col min="10762" max="10762" width="14.42578125" style="62" customWidth="1"/>
    <col min="10763" max="10763" width="12.7109375" style="62" customWidth="1"/>
    <col min="10764" max="10764" width="17.5703125" style="62" customWidth="1"/>
    <col min="10765" max="10765" width="12.5703125" style="62" customWidth="1"/>
    <col min="10766" max="10766" width="17" style="62" customWidth="1"/>
    <col min="10767" max="10767" width="13.140625" style="62" customWidth="1"/>
    <col min="10768" max="10772" width="14.7109375" style="62" customWidth="1"/>
    <col min="10773" max="10773" width="12.5703125" style="62" customWidth="1"/>
    <col min="10774" max="10774" width="9.85546875" style="62" customWidth="1"/>
    <col min="10775" max="10775" width="14.7109375" style="62" customWidth="1"/>
    <col min="10776" max="10776" width="19.140625" style="62" customWidth="1"/>
    <col min="10777" max="10777" width="20.28515625" style="62" customWidth="1"/>
    <col min="10778" max="10778" width="13" style="62" customWidth="1"/>
    <col min="10779" max="11008" width="9.140625" style="62"/>
    <col min="11009" max="11009" width="17.85546875" style="62" customWidth="1"/>
    <col min="11010" max="11010" width="16.85546875" style="62" customWidth="1"/>
    <col min="11011" max="11011" width="14.5703125" style="62" customWidth="1"/>
    <col min="11012" max="11013" width="15.85546875" style="62" customWidth="1"/>
    <col min="11014" max="11014" width="17.140625" style="62" customWidth="1"/>
    <col min="11015" max="11015" width="13.140625" style="62" customWidth="1"/>
    <col min="11016" max="11016" width="12.140625" style="62" customWidth="1"/>
    <col min="11017" max="11017" width="12.85546875" style="62" customWidth="1"/>
    <col min="11018" max="11018" width="14.42578125" style="62" customWidth="1"/>
    <col min="11019" max="11019" width="12.7109375" style="62" customWidth="1"/>
    <col min="11020" max="11020" width="17.5703125" style="62" customWidth="1"/>
    <col min="11021" max="11021" width="12.5703125" style="62" customWidth="1"/>
    <col min="11022" max="11022" width="17" style="62" customWidth="1"/>
    <col min="11023" max="11023" width="13.140625" style="62" customWidth="1"/>
    <col min="11024" max="11028" width="14.7109375" style="62" customWidth="1"/>
    <col min="11029" max="11029" width="12.5703125" style="62" customWidth="1"/>
    <col min="11030" max="11030" width="9.85546875" style="62" customWidth="1"/>
    <col min="11031" max="11031" width="14.7109375" style="62" customWidth="1"/>
    <col min="11032" max="11032" width="19.140625" style="62" customWidth="1"/>
    <col min="11033" max="11033" width="20.28515625" style="62" customWidth="1"/>
    <col min="11034" max="11034" width="13" style="62" customWidth="1"/>
    <col min="11035" max="11264" width="9.140625" style="62"/>
    <col min="11265" max="11265" width="17.85546875" style="62" customWidth="1"/>
    <col min="11266" max="11266" width="16.85546875" style="62" customWidth="1"/>
    <col min="11267" max="11267" width="14.5703125" style="62" customWidth="1"/>
    <col min="11268" max="11269" width="15.85546875" style="62" customWidth="1"/>
    <col min="11270" max="11270" width="17.140625" style="62" customWidth="1"/>
    <col min="11271" max="11271" width="13.140625" style="62" customWidth="1"/>
    <col min="11272" max="11272" width="12.140625" style="62" customWidth="1"/>
    <col min="11273" max="11273" width="12.85546875" style="62" customWidth="1"/>
    <col min="11274" max="11274" width="14.42578125" style="62" customWidth="1"/>
    <col min="11275" max="11275" width="12.7109375" style="62" customWidth="1"/>
    <col min="11276" max="11276" width="17.5703125" style="62" customWidth="1"/>
    <col min="11277" max="11277" width="12.5703125" style="62" customWidth="1"/>
    <col min="11278" max="11278" width="17" style="62" customWidth="1"/>
    <col min="11279" max="11279" width="13.140625" style="62" customWidth="1"/>
    <col min="11280" max="11284" width="14.7109375" style="62" customWidth="1"/>
    <col min="11285" max="11285" width="12.5703125" style="62" customWidth="1"/>
    <col min="11286" max="11286" width="9.85546875" style="62" customWidth="1"/>
    <col min="11287" max="11287" width="14.7109375" style="62" customWidth="1"/>
    <col min="11288" max="11288" width="19.140625" style="62" customWidth="1"/>
    <col min="11289" max="11289" width="20.28515625" style="62" customWidth="1"/>
    <col min="11290" max="11290" width="13" style="62" customWidth="1"/>
    <col min="11291" max="11520" width="9.140625" style="62"/>
    <col min="11521" max="11521" width="17.85546875" style="62" customWidth="1"/>
    <col min="11522" max="11522" width="16.85546875" style="62" customWidth="1"/>
    <col min="11523" max="11523" width="14.5703125" style="62" customWidth="1"/>
    <col min="11524" max="11525" width="15.85546875" style="62" customWidth="1"/>
    <col min="11526" max="11526" width="17.140625" style="62" customWidth="1"/>
    <col min="11527" max="11527" width="13.140625" style="62" customWidth="1"/>
    <col min="11528" max="11528" width="12.140625" style="62" customWidth="1"/>
    <col min="11529" max="11529" width="12.85546875" style="62" customWidth="1"/>
    <col min="11530" max="11530" width="14.42578125" style="62" customWidth="1"/>
    <col min="11531" max="11531" width="12.7109375" style="62" customWidth="1"/>
    <col min="11532" max="11532" width="17.5703125" style="62" customWidth="1"/>
    <col min="11533" max="11533" width="12.5703125" style="62" customWidth="1"/>
    <col min="11534" max="11534" width="17" style="62" customWidth="1"/>
    <col min="11535" max="11535" width="13.140625" style="62" customWidth="1"/>
    <col min="11536" max="11540" width="14.7109375" style="62" customWidth="1"/>
    <col min="11541" max="11541" width="12.5703125" style="62" customWidth="1"/>
    <col min="11542" max="11542" width="9.85546875" style="62" customWidth="1"/>
    <col min="11543" max="11543" width="14.7109375" style="62" customWidth="1"/>
    <col min="11544" max="11544" width="19.140625" style="62" customWidth="1"/>
    <col min="11545" max="11545" width="20.28515625" style="62" customWidth="1"/>
    <col min="11546" max="11546" width="13" style="62" customWidth="1"/>
    <col min="11547" max="11776" width="9.140625" style="62"/>
    <col min="11777" max="11777" width="17.85546875" style="62" customWidth="1"/>
    <col min="11778" max="11778" width="16.85546875" style="62" customWidth="1"/>
    <col min="11779" max="11779" width="14.5703125" style="62" customWidth="1"/>
    <col min="11780" max="11781" width="15.85546875" style="62" customWidth="1"/>
    <col min="11782" max="11782" width="17.140625" style="62" customWidth="1"/>
    <col min="11783" max="11783" width="13.140625" style="62" customWidth="1"/>
    <col min="11784" max="11784" width="12.140625" style="62" customWidth="1"/>
    <col min="11785" max="11785" width="12.85546875" style="62" customWidth="1"/>
    <col min="11786" max="11786" width="14.42578125" style="62" customWidth="1"/>
    <col min="11787" max="11787" width="12.7109375" style="62" customWidth="1"/>
    <col min="11788" max="11788" width="17.5703125" style="62" customWidth="1"/>
    <col min="11789" max="11789" width="12.5703125" style="62" customWidth="1"/>
    <col min="11790" max="11790" width="17" style="62" customWidth="1"/>
    <col min="11791" max="11791" width="13.140625" style="62" customWidth="1"/>
    <col min="11792" max="11796" width="14.7109375" style="62" customWidth="1"/>
    <col min="11797" max="11797" width="12.5703125" style="62" customWidth="1"/>
    <col min="11798" max="11798" width="9.85546875" style="62" customWidth="1"/>
    <col min="11799" max="11799" width="14.7109375" style="62" customWidth="1"/>
    <col min="11800" max="11800" width="19.140625" style="62" customWidth="1"/>
    <col min="11801" max="11801" width="20.28515625" style="62" customWidth="1"/>
    <col min="11802" max="11802" width="13" style="62" customWidth="1"/>
    <col min="11803" max="12032" width="9.140625" style="62"/>
    <col min="12033" max="12033" width="17.85546875" style="62" customWidth="1"/>
    <col min="12034" max="12034" width="16.85546875" style="62" customWidth="1"/>
    <col min="12035" max="12035" width="14.5703125" style="62" customWidth="1"/>
    <col min="12036" max="12037" width="15.85546875" style="62" customWidth="1"/>
    <col min="12038" max="12038" width="17.140625" style="62" customWidth="1"/>
    <col min="12039" max="12039" width="13.140625" style="62" customWidth="1"/>
    <col min="12040" max="12040" width="12.140625" style="62" customWidth="1"/>
    <col min="12041" max="12041" width="12.85546875" style="62" customWidth="1"/>
    <col min="12042" max="12042" width="14.42578125" style="62" customWidth="1"/>
    <col min="12043" max="12043" width="12.7109375" style="62" customWidth="1"/>
    <col min="12044" max="12044" width="17.5703125" style="62" customWidth="1"/>
    <col min="12045" max="12045" width="12.5703125" style="62" customWidth="1"/>
    <col min="12046" max="12046" width="17" style="62" customWidth="1"/>
    <col min="12047" max="12047" width="13.140625" style="62" customWidth="1"/>
    <col min="12048" max="12052" width="14.7109375" style="62" customWidth="1"/>
    <col min="12053" max="12053" width="12.5703125" style="62" customWidth="1"/>
    <col min="12054" max="12054" width="9.85546875" style="62" customWidth="1"/>
    <col min="12055" max="12055" width="14.7109375" style="62" customWidth="1"/>
    <col min="12056" max="12056" width="19.140625" style="62" customWidth="1"/>
    <col min="12057" max="12057" width="20.28515625" style="62" customWidth="1"/>
    <col min="12058" max="12058" width="13" style="62" customWidth="1"/>
    <col min="12059" max="12288" width="9.140625" style="62"/>
    <col min="12289" max="12289" width="17.85546875" style="62" customWidth="1"/>
    <col min="12290" max="12290" width="16.85546875" style="62" customWidth="1"/>
    <col min="12291" max="12291" width="14.5703125" style="62" customWidth="1"/>
    <col min="12292" max="12293" width="15.85546875" style="62" customWidth="1"/>
    <col min="12294" max="12294" width="17.140625" style="62" customWidth="1"/>
    <col min="12295" max="12295" width="13.140625" style="62" customWidth="1"/>
    <col min="12296" max="12296" width="12.140625" style="62" customWidth="1"/>
    <col min="12297" max="12297" width="12.85546875" style="62" customWidth="1"/>
    <col min="12298" max="12298" width="14.42578125" style="62" customWidth="1"/>
    <col min="12299" max="12299" width="12.7109375" style="62" customWidth="1"/>
    <col min="12300" max="12300" width="17.5703125" style="62" customWidth="1"/>
    <col min="12301" max="12301" width="12.5703125" style="62" customWidth="1"/>
    <col min="12302" max="12302" width="17" style="62" customWidth="1"/>
    <col min="12303" max="12303" width="13.140625" style="62" customWidth="1"/>
    <col min="12304" max="12308" width="14.7109375" style="62" customWidth="1"/>
    <col min="12309" max="12309" width="12.5703125" style="62" customWidth="1"/>
    <col min="12310" max="12310" width="9.85546875" style="62" customWidth="1"/>
    <col min="12311" max="12311" width="14.7109375" style="62" customWidth="1"/>
    <col min="12312" max="12312" width="19.140625" style="62" customWidth="1"/>
    <col min="12313" max="12313" width="20.28515625" style="62" customWidth="1"/>
    <col min="12314" max="12314" width="13" style="62" customWidth="1"/>
    <col min="12315" max="12544" width="9.140625" style="62"/>
    <col min="12545" max="12545" width="17.85546875" style="62" customWidth="1"/>
    <col min="12546" max="12546" width="16.85546875" style="62" customWidth="1"/>
    <col min="12547" max="12547" width="14.5703125" style="62" customWidth="1"/>
    <col min="12548" max="12549" width="15.85546875" style="62" customWidth="1"/>
    <col min="12550" max="12550" width="17.140625" style="62" customWidth="1"/>
    <col min="12551" max="12551" width="13.140625" style="62" customWidth="1"/>
    <col min="12552" max="12552" width="12.140625" style="62" customWidth="1"/>
    <col min="12553" max="12553" width="12.85546875" style="62" customWidth="1"/>
    <col min="12554" max="12554" width="14.42578125" style="62" customWidth="1"/>
    <col min="12555" max="12555" width="12.7109375" style="62" customWidth="1"/>
    <col min="12556" max="12556" width="17.5703125" style="62" customWidth="1"/>
    <col min="12557" max="12557" width="12.5703125" style="62" customWidth="1"/>
    <col min="12558" max="12558" width="17" style="62" customWidth="1"/>
    <col min="12559" max="12559" width="13.140625" style="62" customWidth="1"/>
    <col min="12560" max="12564" width="14.7109375" style="62" customWidth="1"/>
    <col min="12565" max="12565" width="12.5703125" style="62" customWidth="1"/>
    <col min="12566" max="12566" width="9.85546875" style="62" customWidth="1"/>
    <col min="12567" max="12567" width="14.7109375" style="62" customWidth="1"/>
    <col min="12568" max="12568" width="19.140625" style="62" customWidth="1"/>
    <col min="12569" max="12569" width="20.28515625" style="62" customWidth="1"/>
    <col min="12570" max="12570" width="13" style="62" customWidth="1"/>
    <col min="12571" max="12800" width="9.140625" style="62"/>
    <col min="12801" max="12801" width="17.85546875" style="62" customWidth="1"/>
    <col min="12802" max="12802" width="16.85546875" style="62" customWidth="1"/>
    <col min="12803" max="12803" width="14.5703125" style="62" customWidth="1"/>
    <col min="12804" max="12805" width="15.85546875" style="62" customWidth="1"/>
    <col min="12806" max="12806" width="17.140625" style="62" customWidth="1"/>
    <col min="12807" max="12807" width="13.140625" style="62" customWidth="1"/>
    <col min="12808" max="12808" width="12.140625" style="62" customWidth="1"/>
    <col min="12809" max="12809" width="12.85546875" style="62" customWidth="1"/>
    <col min="12810" max="12810" width="14.42578125" style="62" customWidth="1"/>
    <col min="12811" max="12811" width="12.7109375" style="62" customWidth="1"/>
    <col min="12812" max="12812" width="17.5703125" style="62" customWidth="1"/>
    <col min="12813" max="12813" width="12.5703125" style="62" customWidth="1"/>
    <col min="12814" max="12814" width="17" style="62" customWidth="1"/>
    <col min="12815" max="12815" width="13.140625" style="62" customWidth="1"/>
    <col min="12816" max="12820" width="14.7109375" style="62" customWidth="1"/>
    <col min="12821" max="12821" width="12.5703125" style="62" customWidth="1"/>
    <col min="12822" max="12822" width="9.85546875" style="62" customWidth="1"/>
    <col min="12823" max="12823" width="14.7109375" style="62" customWidth="1"/>
    <col min="12824" max="12824" width="19.140625" style="62" customWidth="1"/>
    <col min="12825" max="12825" width="20.28515625" style="62" customWidth="1"/>
    <col min="12826" max="12826" width="13" style="62" customWidth="1"/>
    <col min="12827" max="13056" width="9.140625" style="62"/>
    <col min="13057" max="13057" width="17.85546875" style="62" customWidth="1"/>
    <col min="13058" max="13058" width="16.85546875" style="62" customWidth="1"/>
    <col min="13059" max="13059" width="14.5703125" style="62" customWidth="1"/>
    <col min="13060" max="13061" width="15.85546875" style="62" customWidth="1"/>
    <col min="13062" max="13062" width="17.140625" style="62" customWidth="1"/>
    <col min="13063" max="13063" width="13.140625" style="62" customWidth="1"/>
    <col min="13064" max="13064" width="12.140625" style="62" customWidth="1"/>
    <col min="13065" max="13065" width="12.85546875" style="62" customWidth="1"/>
    <col min="13066" max="13066" width="14.42578125" style="62" customWidth="1"/>
    <col min="13067" max="13067" width="12.7109375" style="62" customWidth="1"/>
    <col min="13068" max="13068" width="17.5703125" style="62" customWidth="1"/>
    <col min="13069" max="13069" width="12.5703125" style="62" customWidth="1"/>
    <col min="13070" max="13070" width="17" style="62" customWidth="1"/>
    <col min="13071" max="13071" width="13.140625" style="62" customWidth="1"/>
    <col min="13072" max="13076" width="14.7109375" style="62" customWidth="1"/>
    <col min="13077" max="13077" width="12.5703125" style="62" customWidth="1"/>
    <col min="13078" max="13078" width="9.85546875" style="62" customWidth="1"/>
    <col min="13079" max="13079" width="14.7109375" style="62" customWidth="1"/>
    <col min="13080" max="13080" width="19.140625" style="62" customWidth="1"/>
    <col min="13081" max="13081" width="20.28515625" style="62" customWidth="1"/>
    <col min="13082" max="13082" width="13" style="62" customWidth="1"/>
    <col min="13083" max="13312" width="9.140625" style="62"/>
    <col min="13313" max="13313" width="17.85546875" style="62" customWidth="1"/>
    <col min="13314" max="13314" width="16.85546875" style="62" customWidth="1"/>
    <col min="13315" max="13315" width="14.5703125" style="62" customWidth="1"/>
    <col min="13316" max="13317" width="15.85546875" style="62" customWidth="1"/>
    <col min="13318" max="13318" width="17.140625" style="62" customWidth="1"/>
    <col min="13319" max="13319" width="13.140625" style="62" customWidth="1"/>
    <col min="13320" max="13320" width="12.140625" style="62" customWidth="1"/>
    <col min="13321" max="13321" width="12.85546875" style="62" customWidth="1"/>
    <col min="13322" max="13322" width="14.42578125" style="62" customWidth="1"/>
    <col min="13323" max="13323" width="12.7109375" style="62" customWidth="1"/>
    <col min="13324" max="13324" width="17.5703125" style="62" customWidth="1"/>
    <col min="13325" max="13325" width="12.5703125" style="62" customWidth="1"/>
    <col min="13326" max="13326" width="17" style="62" customWidth="1"/>
    <col min="13327" max="13327" width="13.140625" style="62" customWidth="1"/>
    <col min="13328" max="13332" width="14.7109375" style="62" customWidth="1"/>
    <col min="13333" max="13333" width="12.5703125" style="62" customWidth="1"/>
    <col min="13334" max="13334" width="9.85546875" style="62" customWidth="1"/>
    <col min="13335" max="13335" width="14.7109375" style="62" customWidth="1"/>
    <col min="13336" max="13336" width="19.140625" style="62" customWidth="1"/>
    <col min="13337" max="13337" width="20.28515625" style="62" customWidth="1"/>
    <col min="13338" max="13338" width="13" style="62" customWidth="1"/>
    <col min="13339" max="13568" width="9.140625" style="62"/>
    <col min="13569" max="13569" width="17.85546875" style="62" customWidth="1"/>
    <col min="13570" max="13570" width="16.85546875" style="62" customWidth="1"/>
    <col min="13571" max="13571" width="14.5703125" style="62" customWidth="1"/>
    <col min="13572" max="13573" width="15.85546875" style="62" customWidth="1"/>
    <col min="13574" max="13574" width="17.140625" style="62" customWidth="1"/>
    <col min="13575" max="13575" width="13.140625" style="62" customWidth="1"/>
    <col min="13576" max="13576" width="12.140625" style="62" customWidth="1"/>
    <col min="13577" max="13577" width="12.85546875" style="62" customWidth="1"/>
    <col min="13578" max="13578" width="14.42578125" style="62" customWidth="1"/>
    <col min="13579" max="13579" width="12.7109375" style="62" customWidth="1"/>
    <col min="13580" max="13580" width="17.5703125" style="62" customWidth="1"/>
    <col min="13581" max="13581" width="12.5703125" style="62" customWidth="1"/>
    <col min="13582" max="13582" width="17" style="62" customWidth="1"/>
    <col min="13583" max="13583" width="13.140625" style="62" customWidth="1"/>
    <col min="13584" max="13588" width="14.7109375" style="62" customWidth="1"/>
    <col min="13589" max="13589" width="12.5703125" style="62" customWidth="1"/>
    <col min="13590" max="13590" width="9.85546875" style="62" customWidth="1"/>
    <col min="13591" max="13591" width="14.7109375" style="62" customWidth="1"/>
    <col min="13592" max="13592" width="19.140625" style="62" customWidth="1"/>
    <col min="13593" max="13593" width="20.28515625" style="62" customWidth="1"/>
    <col min="13594" max="13594" width="13" style="62" customWidth="1"/>
    <col min="13595" max="13824" width="9.140625" style="62"/>
    <col min="13825" max="13825" width="17.85546875" style="62" customWidth="1"/>
    <col min="13826" max="13826" width="16.85546875" style="62" customWidth="1"/>
    <col min="13827" max="13827" width="14.5703125" style="62" customWidth="1"/>
    <col min="13828" max="13829" width="15.85546875" style="62" customWidth="1"/>
    <col min="13830" max="13830" width="17.140625" style="62" customWidth="1"/>
    <col min="13831" max="13831" width="13.140625" style="62" customWidth="1"/>
    <col min="13832" max="13832" width="12.140625" style="62" customWidth="1"/>
    <col min="13833" max="13833" width="12.85546875" style="62" customWidth="1"/>
    <col min="13834" max="13834" width="14.42578125" style="62" customWidth="1"/>
    <col min="13835" max="13835" width="12.7109375" style="62" customWidth="1"/>
    <col min="13836" max="13836" width="17.5703125" style="62" customWidth="1"/>
    <col min="13837" max="13837" width="12.5703125" style="62" customWidth="1"/>
    <col min="13838" max="13838" width="17" style="62" customWidth="1"/>
    <col min="13839" max="13839" width="13.140625" style="62" customWidth="1"/>
    <col min="13840" max="13844" width="14.7109375" style="62" customWidth="1"/>
    <col min="13845" max="13845" width="12.5703125" style="62" customWidth="1"/>
    <col min="13846" max="13846" width="9.85546875" style="62" customWidth="1"/>
    <col min="13847" max="13847" width="14.7109375" style="62" customWidth="1"/>
    <col min="13848" max="13848" width="19.140625" style="62" customWidth="1"/>
    <col min="13849" max="13849" width="20.28515625" style="62" customWidth="1"/>
    <col min="13850" max="13850" width="13" style="62" customWidth="1"/>
    <col min="13851" max="14080" width="9.140625" style="62"/>
    <col min="14081" max="14081" width="17.85546875" style="62" customWidth="1"/>
    <col min="14082" max="14082" width="16.85546875" style="62" customWidth="1"/>
    <col min="14083" max="14083" width="14.5703125" style="62" customWidth="1"/>
    <col min="14084" max="14085" width="15.85546875" style="62" customWidth="1"/>
    <col min="14086" max="14086" width="17.140625" style="62" customWidth="1"/>
    <col min="14087" max="14087" width="13.140625" style="62" customWidth="1"/>
    <col min="14088" max="14088" width="12.140625" style="62" customWidth="1"/>
    <col min="14089" max="14089" width="12.85546875" style="62" customWidth="1"/>
    <col min="14090" max="14090" width="14.42578125" style="62" customWidth="1"/>
    <col min="14091" max="14091" width="12.7109375" style="62" customWidth="1"/>
    <col min="14092" max="14092" width="17.5703125" style="62" customWidth="1"/>
    <col min="14093" max="14093" width="12.5703125" style="62" customWidth="1"/>
    <col min="14094" max="14094" width="17" style="62" customWidth="1"/>
    <col min="14095" max="14095" width="13.140625" style="62" customWidth="1"/>
    <col min="14096" max="14100" width="14.7109375" style="62" customWidth="1"/>
    <col min="14101" max="14101" width="12.5703125" style="62" customWidth="1"/>
    <col min="14102" max="14102" width="9.85546875" style="62" customWidth="1"/>
    <col min="14103" max="14103" width="14.7109375" style="62" customWidth="1"/>
    <col min="14104" max="14104" width="19.140625" style="62" customWidth="1"/>
    <col min="14105" max="14105" width="20.28515625" style="62" customWidth="1"/>
    <col min="14106" max="14106" width="13" style="62" customWidth="1"/>
    <col min="14107" max="14336" width="9.140625" style="62"/>
    <col min="14337" max="14337" width="17.85546875" style="62" customWidth="1"/>
    <col min="14338" max="14338" width="16.85546875" style="62" customWidth="1"/>
    <col min="14339" max="14339" width="14.5703125" style="62" customWidth="1"/>
    <col min="14340" max="14341" width="15.85546875" style="62" customWidth="1"/>
    <col min="14342" max="14342" width="17.140625" style="62" customWidth="1"/>
    <col min="14343" max="14343" width="13.140625" style="62" customWidth="1"/>
    <col min="14344" max="14344" width="12.140625" style="62" customWidth="1"/>
    <col min="14345" max="14345" width="12.85546875" style="62" customWidth="1"/>
    <col min="14346" max="14346" width="14.42578125" style="62" customWidth="1"/>
    <col min="14347" max="14347" width="12.7109375" style="62" customWidth="1"/>
    <col min="14348" max="14348" width="17.5703125" style="62" customWidth="1"/>
    <col min="14349" max="14349" width="12.5703125" style="62" customWidth="1"/>
    <col min="14350" max="14350" width="17" style="62" customWidth="1"/>
    <col min="14351" max="14351" width="13.140625" style="62" customWidth="1"/>
    <col min="14352" max="14356" width="14.7109375" style="62" customWidth="1"/>
    <col min="14357" max="14357" width="12.5703125" style="62" customWidth="1"/>
    <col min="14358" max="14358" width="9.85546875" style="62" customWidth="1"/>
    <col min="14359" max="14359" width="14.7109375" style="62" customWidth="1"/>
    <col min="14360" max="14360" width="19.140625" style="62" customWidth="1"/>
    <col min="14361" max="14361" width="20.28515625" style="62" customWidth="1"/>
    <col min="14362" max="14362" width="13" style="62" customWidth="1"/>
    <col min="14363" max="14592" width="9.140625" style="62"/>
    <col min="14593" max="14593" width="17.85546875" style="62" customWidth="1"/>
    <col min="14594" max="14594" width="16.85546875" style="62" customWidth="1"/>
    <col min="14595" max="14595" width="14.5703125" style="62" customWidth="1"/>
    <col min="14596" max="14597" width="15.85546875" style="62" customWidth="1"/>
    <col min="14598" max="14598" width="17.140625" style="62" customWidth="1"/>
    <col min="14599" max="14599" width="13.140625" style="62" customWidth="1"/>
    <col min="14600" max="14600" width="12.140625" style="62" customWidth="1"/>
    <col min="14601" max="14601" width="12.85546875" style="62" customWidth="1"/>
    <col min="14602" max="14602" width="14.42578125" style="62" customWidth="1"/>
    <col min="14603" max="14603" width="12.7109375" style="62" customWidth="1"/>
    <col min="14604" max="14604" width="17.5703125" style="62" customWidth="1"/>
    <col min="14605" max="14605" width="12.5703125" style="62" customWidth="1"/>
    <col min="14606" max="14606" width="17" style="62" customWidth="1"/>
    <col min="14607" max="14607" width="13.140625" style="62" customWidth="1"/>
    <col min="14608" max="14612" width="14.7109375" style="62" customWidth="1"/>
    <col min="14613" max="14613" width="12.5703125" style="62" customWidth="1"/>
    <col min="14614" max="14614" width="9.85546875" style="62" customWidth="1"/>
    <col min="14615" max="14615" width="14.7109375" style="62" customWidth="1"/>
    <col min="14616" max="14616" width="19.140625" style="62" customWidth="1"/>
    <col min="14617" max="14617" width="20.28515625" style="62" customWidth="1"/>
    <col min="14618" max="14618" width="13" style="62" customWidth="1"/>
    <col min="14619" max="14848" width="9.140625" style="62"/>
    <col min="14849" max="14849" width="17.85546875" style="62" customWidth="1"/>
    <col min="14850" max="14850" width="16.85546875" style="62" customWidth="1"/>
    <col min="14851" max="14851" width="14.5703125" style="62" customWidth="1"/>
    <col min="14852" max="14853" width="15.85546875" style="62" customWidth="1"/>
    <col min="14854" max="14854" width="17.140625" style="62" customWidth="1"/>
    <col min="14855" max="14855" width="13.140625" style="62" customWidth="1"/>
    <col min="14856" max="14856" width="12.140625" style="62" customWidth="1"/>
    <col min="14857" max="14857" width="12.85546875" style="62" customWidth="1"/>
    <col min="14858" max="14858" width="14.42578125" style="62" customWidth="1"/>
    <col min="14859" max="14859" width="12.7109375" style="62" customWidth="1"/>
    <col min="14860" max="14860" width="17.5703125" style="62" customWidth="1"/>
    <col min="14861" max="14861" width="12.5703125" style="62" customWidth="1"/>
    <col min="14862" max="14862" width="17" style="62" customWidth="1"/>
    <col min="14863" max="14863" width="13.140625" style="62" customWidth="1"/>
    <col min="14864" max="14868" width="14.7109375" style="62" customWidth="1"/>
    <col min="14869" max="14869" width="12.5703125" style="62" customWidth="1"/>
    <col min="14870" max="14870" width="9.85546875" style="62" customWidth="1"/>
    <col min="14871" max="14871" width="14.7109375" style="62" customWidth="1"/>
    <col min="14872" max="14872" width="19.140625" style="62" customWidth="1"/>
    <col min="14873" max="14873" width="20.28515625" style="62" customWidth="1"/>
    <col min="14874" max="14874" width="13" style="62" customWidth="1"/>
    <col min="14875" max="15104" width="9.140625" style="62"/>
    <col min="15105" max="15105" width="17.85546875" style="62" customWidth="1"/>
    <col min="15106" max="15106" width="16.85546875" style="62" customWidth="1"/>
    <col min="15107" max="15107" width="14.5703125" style="62" customWidth="1"/>
    <col min="15108" max="15109" width="15.85546875" style="62" customWidth="1"/>
    <col min="15110" max="15110" width="17.140625" style="62" customWidth="1"/>
    <col min="15111" max="15111" width="13.140625" style="62" customWidth="1"/>
    <col min="15112" max="15112" width="12.140625" style="62" customWidth="1"/>
    <col min="15113" max="15113" width="12.85546875" style="62" customWidth="1"/>
    <col min="15114" max="15114" width="14.42578125" style="62" customWidth="1"/>
    <col min="15115" max="15115" width="12.7109375" style="62" customWidth="1"/>
    <col min="15116" max="15116" width="17.5703125" style="62" customWidth="1"/>
    <col min="15117" max="15117" width="12.5703125" style="62" customWidth="1"/>
    <col min="15118" max="15118" width="17" style="62" customWidth="1"/>
    <col min="15119" max="15119" width="13.140625" style="62" customWidth="1"/>
    <col min="15120" max="15124" width="14.7109375" style="62" customWidth="1"/>
    <col min="15125" max="15125" width="12.5703125" style="62" customWidth="1"/>
    <col min="15126" max="15126" width="9.85546875" style="62" customWidth="1"/>
    <col min="15127" max="15127" width="14.7109375" style="62" customWidth="1"/>
    <col min="15128" max="15128" width="19.140625" style="62" customWidth="1"/>
    <col min="15129" max="15129" width="20.28515625" style="62" customWidth="1"/>
    <col min="15130" max="15130" width="13" style="62" customWidth="1"/>
    <col min="15131" max="15360" width="9.140625" style="62"/>
    <col min="15361" max="15361" width="17.85546875" style="62" customWidth="1"/>
    <col min="15362" max="15362" width="16.85546875" style="62" customWidth="1"/>
    <col min="15363" max="15363" width="14.5703125" style="62" customWidth="1"/>
    <col min="15364" max="15365" width="15.85546875" style="62" customWidth="1"/>
    <col min="15366" max="15366" width="17.140625" style="62" customWidth="1"/>
    <col min="15367" max="15367" width="13.140625" style="62" customWidth="1"/>
    <col min="15368" max="15368" width="12.140625" style="62" customWidth="1"/>
    <col min="15369" max="15369" width="12.85546875" style="62" customWidth="1"/>
    <col min="15370" max="15370" width="14.42578125" style="62" customWidth="1"/>
    <col min="15371" max="15371" width="12.7109375" style="62" customWidth="1"/>
    <col min="15372" max="15372" width="17.5703125" style="62" customWidth="1"/>
    <col min="15373" max="15373" width="12.5703125" style="62" customWidth="1"/>
    <col min="15374" max="15374" width="17" style="62" customWidth="1"/>
    <col min="15375" max="15375" width="13.140625" style="62" customWidth="1"/>
    <col min="15376" max="15380" width="14.7109375" style="62" customWidth="1"/>
    <col min="15381" max="15381" width="12.5703125" style="62" customWidth="1"/>
    <col min="15382" max="15382" width="9.85546875" style="62" customWidth="1"/>
    <col min="15383" max="15383" width="14.7109375" style="62" customWidth="1"/>
    <col min="15384" max="15384" width="19.140625" style="62" customWidth="1"/>
    <col min="15385" max="15385" width="20.28515625" style="62" customWidth="1"/>
    <col min="15386" max="15386" width="13" style="62" customWidth="1"/>
    <col min="15387" max="15616" width="9.140625" style="62"/>
    <col min="15617" max="15617" width="17.85546875" style="62" customWidth="1"/>
    <col min="15618" max="15618" width="16.85546875" style="62" customWidth="1"/>
    <col min="15619" max="15619" width="14.5703125" style="62" customWidth="1"/>
    <col min="15620" max="15621" width="15.85546875" style="62" customWidth="1"/>
    <col min="15622" max="15622" width="17.140625" style="62" customWidth="1"/>
    <col min="15623" max="15623" width="13.140625" style="62" customWidth="1"/>
    <col min="15624" max="15624" width="12.140625" style="62" customWidth="1"/>
    <col min="15625" max="15625" width="12.85546875" style="62" customWidth="1"/>
    <col min="15626" max="15626" width="14.42578125" style="62" customWidth="1"/>
    <col min="15627" max="15627" width="12.7109375" style="62" customWidth="1"/>
    <col min="15628" max="15628" width="17.5703125" style="62" customWidth="1"/>
    <col min="15629" max="15629" width="12.5703125" style="62" customWidth="1"/>
    <col min="15630" max="15630" width="17" style="62" customWidth="1"/>
    <col min="15631" max="15631" width="13.140625" style="62" customWidth="1"/>
    <col min="15632" max="15636" width="14.7109375" style="62" customWidth="1"/>
    <col min="15637" max="15637" width="12.5703125" style="62" customWidth="1"/>
    <col min="15638" max="15638" width="9.85546875" style="62" customWidth="1"/>
    <col min="15639" max="15639" width="14.7109375" style="62" customWidth="1"/>
    <col min="15640" max="15640" width="19.140625" style="62" customWidth="1"/>
    <col min="15641" max="15641" width="20.28515625" style="62" customWidth="1"/>
    <col min="15642" max="15642" width="13" style="62" customWidth="1"/>
    <col min="15643" max="15872" width="9.140625" style="62"/>
    <col min="15873" max="15873" width="17.85546875" style="62" customWidth="1"/>
    <col min="15874" max="15874" width="16.85546875" style="62" customWidth="1"/>
    <col min="15875" max="15875" width="14.5703125" style="62" customWidth="1"/>
    <col min="15876" max="15877" width="15.85546875" style="62" customWidth="1"/>
    <col min="15878" max="15878" width="17.140625" style="62" customWidth="1"/>
    <col min="15879" max="15879" width="13.140625" style="62" customWidth="1"/>
    <col min="15880" max="15880" width="12.140625" style="62" customWidth="1"/>
    <col min="15881" max="15881" width="12.85546875" style="62" customWidth="1"/>
    <col min="15882" max="15882" width="14.42578125" style="62" customWidth="1"/>
    <col min="15883" max="15883" width="12.7109375" style="62" customWidth="1"/>
    <col min="15884" max="15884" width="17.5703125" style="62" customWidth="1"/>
    <col min="15885" max="15885" width="12.5703125" style="62" customWidth="1"/>
    <col min="15886" max="15886" width="17" style="62" customWidth="1"/>
    <col min="15887" max="15887" width="13.140625" style="62" customWidth="1"/>
    <col min="15888" max="15892" width="14.7109375" style="62" customWidth="1"/>
    <col min="15893" max="15893" width="12.5703125" style="62" customWidth="1"/>
    <col min="15894" max="15894" width="9.85546875" style="62" customWidth="1"/>
    <col min="15895" max="15895" width="14.7109375" style="62" customWidth="1"/>
    <col min="15896" max="15896" width="19.140625" style="62" customWidth="1"/>
    <col min="15897" max="15897" width="20.28515625" style="62" customWidth="1"/>
    <col min="15898" max="15898" width="13" style="62" customWidth="1"/>
    <col min="15899" max="16128" width="9.140625" style="62"/>
    <col min="16129" max="16129" width="17.85546875" style="62" customWidth="1"/>
    <col min="16130" max="16130" width="16.85546875" style="62" customWidth="1"/>
    <col min="16131" max="16131" width="14.5703125" style="62" customWidth="1"/>
    <col min="16132" max="16133" width="15.85546875" style="62" customWidth="1"/>
    <col min="16134" max="16134" width="17.140625" style="62" customWidth="1"/>
    <col min="16135" max="16135" width="13.140625" style="62" customWidth="1"/>
    <col min="16136" max="16136" width="12.140625" style="62" customWidth="1"/>
    <col min="16137" max="16137" width="12.85546875" style="62" customWidth="1"/>
    <col min="16138" max="16138" width="14.42578125" style="62" customWidth="1"/>
    <col min="16139" max="16139" width="12.7109375" style="62" customWidth="1"/>
    <col min="16140" max="16140" width="17.5703125" style="62" customWidth="1"/>
    <col min="16141" max="16141" width="12.5703125" style="62" customWidth="1"/>
    <col min="16142" max="16142" width="17" style="62" customWidth="1"/>
    <col min="16143" max="16143" width="13.140625" style="62" customWidth="1"/>
    <col min="16144" max="16148" width="14.7109375" style="62" customWidth="1"/>
    <col min="16149" max="16149" width="12.5703125" style="62" customWidth="1"/>
    <col min="16150" max="16150" width="9.85546875" style="62" customWidth="1"/>
    <col min="16151" max="16151" width="14.7109375" style="62" customWidth="1"/>
    <col min="16152" max="16152" width="19.140625" style="62" customWidth="1"/>
    <col min="16153" max="16153" width="20.28515625" style="62" customWidth="1"/>
    <col min="16154" max="16154" width="13" style="62" customWidth="1"/>
    <col min="16155" max="16384" width="9.140625" style="62"/>
  </cols>
  <sheetData>
    <row r="1" spans="1:25" ht="24" customHeight="1" x14ac:dyDescent="0.2">
      <c r="A1" s="688" t="s">
        <v>671</v>
      </c>
      <c r="B1" s="688"/>
      <c r="C1" s="688"/>
      <c r="D1" s="688"/>
      <c r="E1" s="688"/>
      <c r="F1" s="688"/>
      <c r="G1" s="688"/>
      <c r="H1" s="688"/>
      <c r="I1" s="688"/>
      <c r="J1" s="688"/>
      <c r="K1" s="688"/>
      <c r="L1" s="688"/>
      <c r="M1" s="688"/>
      <c r="N1" s="688"/>
      <c r="O1" s="688"/>
      <c r="P1" s="688"/>
      <c r="Q1" s="688"/>
      <c r="R1" s="688"/>
      <c r="S1" s="688"/>
      <c r="T1" s="688"/>
      <c r="U1" s="688"/>
      <c r="V1" s="688"/>
      <c r="W1" s="688"/>
      <c r="X1" s="688"/>
      <c r="Y1" s="688"/>
    </row>
    <row r="2" spans="1:25" ht="18.75" x14ac:dyDescent="0.2">
      <c r="A2" s="688" t="s">
        <v>325</v>
      </c>
      <c r="B2" s="688"/>
      <c r="C2" s="688"/>
      <c r="D2" s="688"/>
      <c r="E2" s="688"/>
      <c r="F2" s="688"/>
      <c r="G2" s="688"/>
      <c r="H2" s="688"/>
      <c r="I2" s="688"/>
      <c r="J2" s="688"/>
      <c r="K2" s="688"/>
      <c r="L2" s="688"/>
      <c r="M2" s="688"/>
      <c r="N2" s="688"/>
      <c r="O2" s="688"/>
      <c r="P2" s="688"/>
      <c r="Q2" s="688"/>
      <c r="R2" s="688"/>
      <c r="S2" s="688"/>
      <c r="T2" s="688"/>
      <c r="U2" s="688"/>
      <c r="V2" s="688"/>
      <c r="W2" s="688"/>
      <c r="X2" s="688"/>
      <c r="Y2" s="688"/>
    </row>
    <row r="4" spans="1:25" ht="18" x14ac:dyDescent="0.2">
      <c r="A4" s="689" t="s">
        <v>326</v>
      </c>
      <c r="B4" s="689"/>
      <c r="C4" s="689"/>
      <c r="D4" s="689"/>
      <c r="E4" s="689"/>
      <c r="F4" s="689"/>
      <c r="G4" s="689"/>
      <c r="H4" s="689"/>
      <c r="I4" s="689"/>
      <c r="J4" s="689"/>
      <c r="K4" s="689"/>
      <c r="L4" s="689"/>
      <c r="M4" s="689"/>
      <c r="N4" s="689"/>
      <c r="O4" s="689"/>
      <c r="P4" s="689"/>
      <c r="Q4" s="689"/>
      <c r="R4" s="689"/>
      <c r="S4" s="689"/>
      <c r="T4" s="689"/>
      <c r="U4" s="689"/>
      <c r="V4" s="689"/>
      <c r="W4" s="689"/>
      <c r="X4" s="689"/>
      <c r="Y4" s="689"/>
    </row>
    <row r="5" spans="1:25" ht="18" x14ac:dyDescent="0.2">
      <c r="A5" s="63"/>
      <c r="B5" s="63"/>
      <c r="C5" s="63"/>
      <c r="D5" s="64"/>
      <c r="E5" s="64"/>
      <c r="F5" s="64"/>
      <c r="G5" s="64"/>
      <c r="H5" s="64"/>
      <c r="I5" s="64"/>
      <c r="J5" s="64"/>
      <c r="K5" s="64"/>
      <c r="L5" s="64"/>
      <c r="M5" s="64"/>
      <c r="N5" s="64"/>
      <c r="O5" s="64"/>
      <c r="P5" s="64"/>
      <c r="Q5" s="64"/>
      <c r="R5" s="64"/>
      <c r="S5" s="64"/>
      <c r="T5" s="64"/>
    </row>
    <row r="7" spans="1:25" ht="70.5" customHeight="1" x14ac:dyDescent="0.2">
      <c r="A7" s="690" t="s">
        <v>327</v>
      </c>
      <c r="B7" s="692" t="s">
        <v>328</v>
      </c>
      <c r="C7" s="692" t="s">
        <v>329</v>
      </c>
      <c r="D7" s="690" t="s">
        <v>330</v>
      </c>
      <c r="E7" s="690" t="s">
        <v>331</v>
      </c>
      <c r="F7" s="690" t="s">
        <v>332</v>
      </c>
      <c r="G7" s="690" t="s">
        <v>333</v>
      </c>
      <c r="H7" s="690" t="s">
        <v>334</v>
      </c>
      <c r="I7" s="692" t="s">
        <v>335</v>
      </c>
      <c r="J7" s="709" t="s">
        <v>336</v>
      </c>
      <c r="K7" s="709" t="s">
        <v>337</v>
      </c>
      <c r="L7" s="690" t="s">
        <v>338</v>
      </c>
      <c r="M7" s="690" t="s">
        <v>339</v>
      </c>
      <c r="N7" s="690" t="s">
        <v>340</v>
      </c>
      <c r="O7" s="697" t="s">
        <v>341</v>
      </c>
      <c r="P7" s="697" t="s">
        <v>342</v>
      </c>
      <c r="Q7" s="709" t="s">
        <v>343</v>
      </c>
      <c r="R7" s="709"/>
      <c r="S7" s="709"/>
      <c r="T7" s="709"/>
      <c r="U7" s="709"/>
      <c r="V7" s="709"/>
      <c r="W7" s="690" t="s">
        <v>499</v>
      </c>
      <c r="X7" s="690"/>
      <c r="Y7" s="694" t="s">
        <v>344</v>
      </c>
    </row>
    <row r="8" spans="1:25" ht="38.25" customHeight="1" x14ac:dyDescent="0.2">
      <c r="A8" s="691"/>
      <c r="B8" s="693"/>
      <c r="C8" s="693"/>
      <c r="D8" s="690"/>
      <c r="E8" s="691"/>
      <c r="F8" s="690"/>
      <c r="G8" s="690"/>
      <c r="H8" s="690"/>
      <c r="I8" s="714"/>
      <c r="J8" s="710"/>
      <c r="K8" s="710"/>
      <c r="L8" s="691"/>
      <c r="M8" s="691"/>
      <c r="N8" s="691"/>
      <c r="O8" s="698"/>
      <c r="P8" s="698"/>
      <c r="Q8" s="696" t="s">
        <v>672</v>
      </c>
      <c r="R8" s="696" t="s">
        <v>673</v>
      </c>
      <c r="S8" s="696" t="s">
        <v>674</v>
      </c>
      <c r="T8" s="715" t="s">
        <v>345</v>
      </c>
      <c r="U8" s="703" t="s">
        <v>346</v>
      </c>
      <c r="V8" s="703"/>
      <c r="W8" s="690" t="s">
        <v>347</v>
      </c>
      <c r="X8" s="690" t="s">
        <v>348</v>
      </c>
      <c r="Y8" s="695"/>
    </row>
    <row r="9" spans="1:25" ht="24" customHeight="1" x14ac:dyDescent="0.2">
      <c r="A9" s="691"/>
      <c r="B9" s="693"/>
      <c r="C9" s="693"/>
      <c r="D9" s="690"/>
      <c r="E9" s="691"/>
      <c r="F9" s="690"/>
      <c r="G9" s="690"/>
      <c r="H9" s="690"/>
      <c r="I9" s="714"/>
      <c r="J9" s="710"/>
      <c r="K9" s="710"/>
      <c r="L9" s="691"/>
      <c r="M9" s="691"/>
      <c r="N9" s="691"/>
      <c r="O9" s="698"/>
      <c r="P9" s="698"/>
      <c r="Q9" s="691"/>
      <c r="R9" s="691"/>
      <c r="S9" s="691"/>
      <c r="T9" s="710"/>
      <c r="U9" s="65" t="s">
        <v>349</v>
      </c>
      <c r="V9" s="65" t="s">
        <v>350</v>
      </c>
      <c r="W9" s="690"/>
      <c r="X9" s="690"/>
      <c r="Y9" s="695"/>
    </row>
    <row r="10" spans="1:25" ht="38.25" customHeight="1" x14ac:dyDescent="0.2">
      <c r="A10" s="66" t="s">
        <v>351</v>
      </c>
      <c r="B10" s="66" t="s">
        <v>352</v>
      </c>
      <c r="C10" s="67">
        <v>2021</v>
      </c>
      <c r="D10" s="67">
        <v>2021</v>
      </c>
      <c r="E10" s="67" t="s">
        <v>363</v>
      </c>
      <c r="F10" s="67" t="s">
        <v>353</v>
      </c>
      <c r="G10" s="67" t="s">
        <v>363</v>
      </c>
      <c r="H10" s="67" t="s">
        <v>363</v>
      </c>
      <c r="I10" s="67" t="s">
        <v>355</v>
      </c>
      <c r="J10" s="68" t="s">
        <v>364</v>
      </c>
      <c r="K10" s="67" t="s">
        <v>365</v>
      </c>
      <c r="L10" s="68" t="s">
        <v>366</v>
      </c>
      <c r="M10" s="68">
        <v>1</v>
      </c>
      <c r="N10" s="67"/>
      <c r="O10" s="68"/>
      <c r="P10" s="68"/>
      <c r="Q10" s="65">
        <f>'SP SERVIZI 22-23 '!G78</f>
        <v>3443.46</v>
      </c>
      <c r="R10" s="65"/>
      <c r="S10" s="65"/>
      <c r="T10" s="65">
        <f>SUM(Q10:S10)</f>
        <v>3443.46</v>
      </c>
      <c r="U10" s="65">
        <v>0</v>
      </c>
      <c r="V10" s="67">
        <v>0</v>
      </c>
      <c r="W10" s="69" t="s">
        <v>359</v>
      </c>
      <c r="X10" s="70" t="s">
        <v>360</v>
      </c>
      <c r="Y10" s="71"/>
    </row>
    <row r="11" spans="1:25" ht="38.25" customHeight="1" x14ac:dyDescent="0.2">
      <c r="A11" s="66" t="s">
        <v>547</v>
      </c>
      <c r="B11" s="66" t="s">
        <v>352</v>
      </c>
      <c r="C11" s="67">
        <v>2021</v>
      </c>
      <c r="D11" s="67">
        <v>2021</v>
      </c>
      <c r="E11" s="67" t="s">
        <v>354</v>
      </c>
      <c r="F11" s="67"/>
      <c r="G11" s="67"/>
      <c r="H11" s="67"/>
      <c r="I11" s="67"/>
      <c r="J11" s="68" t="s">
        <v>361</v>
      </c>
      <c r="K11" s="67" t="s">
        <v>596</v>
      </c>
      <c r="L11" s="68" t="s">
        <v>501</v>
      </c>
      <c r="M11" s="68">
        <v>1</v>
      </c>
      <c r="N11" s="67"/>
      <c r="O11" s="68"/>
      <c r="P11" s="68"/>
      <c r="Q11" s="65">
        <f>'SP SERVIZI 22-23 '!G79</f>
        <v>6882.84</v>
      </c>
      <c r="R11" s="65"/>
      <c r="S11" s="65"/>
      <c r="T11" s="142">
        <f t="shared" ref="T11:T74" si="0">SUM(Q11:S11)</f>
        <v>6882.84</v>
      </c>
      <c r="U11" s="65">
        <v>0</v>
      </c>
      <c r="V11" s="67">
        <v>0</v>
      </c>
      <c r="W11" s="69" t="s">
        <v>359</v>
      </c>
      <c r="X11" s="70" t="s">
        <v>360</v>
      </c>
      <c r="Y11" s="71"/>
    </row>
    <row r="12" spans="1:25" ht="38.25" customHeight="1" x14ac:dyDescent="0.2">
      <c r="A12" s="66" t="s">
        <v>362</v>
      </c>
      <c r="B12" s="66" t="s">
        <v>352</v>
      </c>
      <c r="C12" s="67">
        <v>2021</v>
      </c>
      <c r="D12" s="67">
        <v>2021</v>
      </c>
      <c r="E12" s="67" t="s">
        <v>363</v>
      </c>
      <c r="F12" s="67" t="s">
        <v>353</v>
      </c>
      <c r="G12" s="67" t="s">
        <v>363</v>
      </c>
      <c r="H12" s="67" t="s">
        <v>363</v>
      </c>
      <c r="I12" s="67" t="s">
        <v>355</v>
      </c>
      <c r="J12" s="68" t="s">
        <v>364</v>
      </c>
      <c r="K12" s="67" t="s">
        <v>373</v>
      </c>
      <c r="L12" s="68" t="s">
        <v>374</v>
      </c>
      <c r="M12" s="68">
        <v>1</v>
      </c>
      <c r="N12" s="67"/>
      <c r="O12" s="68"/>
      <c r="P12" s="68"/>
      <c r="Q12" s="65">
        <f>'SP SERVIZI 22-23 '!G80</f>
        <v>1081.93</v>
      </c>
      <c r="R12" s="65"/>
      <c r="S12" s="65"/>
      <c r="T12" s="142">
        <f t="shared" si="0"/>
        <v>1081.93</v>
      </c>
      <c r="U12" s="65">
        <v>0</v>
      </c>
      <c r="V12" s="67">
        <v>0</v>
      </c>
      <c r="W12" s="69" t="s">
        <v>359</v>
      </c>
      <c r="X12" s="70" t="s">
        <v>360</v>
      </c>
      <c r="Y12" s="71"/>
    </row>
    <row r="13" spans="1:25" ht="38.25" customHeight="1" x14ac:dyDescent="0.2">
      <c r="A13" s="66" t="s">
        <v>367</v>
      </c>
      <c r="B13" s="66" t="s">
        <v>352</v>
      </c>
      <c r="C13" s="67">
        <v>2021</v>
      </c>
      <c r="D13" s="67">
        <v>2021</v>
      </c>
      <c r="E13" s="67" t="s">
        <v>353</v>
      </c>
      <c r="F13" s="67" t="s">
        <v>354</v>
      </c>
      <c r="G13" s="67" t="s">
        <v>353</v>
      </c>
      <c r="H13" s="67" t="s">
        <v>354</v>
      </c>
      <c r="I13" s="67" t="s">
        <v>355</v>
      </c>
      <c r="J13" s="68" t="s">
        <v>356</v>
      </c>
      <c r="K13" s="67" t="s">
        <v>357</v>
      </c>
      <c r="L13" s="68" t="s">
        <v>358</v>
      </c>
      <c r="M13" s="68">
        <v>1</v>
      </c>
      <c r="N13" s="67"/>
      <c r="O13" s="68"/>
      <c r="P13" s="68"/>
      <c r="Q13" s="65">
        <f>'SP SERVIZI 22-23 '!G81</f>
        <v>7512</v>
      </c>
      <c r="R13" s="65"/>
      <c r="S13" s="65"/>
      <c r="T13" s="142">
        <f t="shared" si="0"/>
        <v>7512</v>
      </c>
      <c r="U13" s="65">
        <v>0</v>
      </c>
      <c r="V13" s="67">
        <v>0</v>
      </c>
      <c r="W13" s="69" t="s">
        <v>359</v>
      </c>
      <c r="X13" s="70" t="s">
        <v>360</v>
      </c>
      <c r="Y13" s="71"/>
    </row>
    <row r="14" spans="1:25" ht="38.25" customHeight="1" x14ac:dyDescent="0.25">
      <c r="A14" s="66" t="s">
        <v>372</v>
      </c>
      <c r="B14" s="66" t="s">
        <v>573</v>
      </c>
      <c r="C14" s="67">
        <v>2021</v>
      </c>
      <c r="D14" s="67">
        <v>2021</v>
      </c>
      <c r="E14" s="67" t="s">
        <v>363</v>
      </c>
      <c r="F14" s="67"/>
      <c r="G14" s="67"/>
      <c r="H14" s="67"/>
      <c r="I14" s="67"/>
      <c r="J14" s="68" t="s">
        <v>361</v>
      </c>
      <c r="K14" t="s">
        <v>597</v>
      </c>
      <c r="L14" s="68" t="s">
        <v>500</v>
      </c>
      <c r="M14" s="68">
        <v>1</v>
      </c>
      <c r="N14" s="67"/>
      <c r="O14" s="68"/>
      <c r="P14" s="68"/>
      <c r="Q14" s="65">
        <f>'SP SERVIZI 22-23 '!G82</f>
        <v>2030.02</v>
      </c>
      <c r="R14" s="65"/>
      <c r="S14" s="65"/>
      <c r="T14" s="142">
        <f t="shared" si="0"/>
        <v>2030.02</v>
      </c>
      <c r="U14" s="65">
        <v>0</v>
      </c>
      <c r="V14" s="67">
        <v>0</v>
      </c>
      <c r="W14" s="69" t="s">
        <v>359</v>
      </c>
      <c r="X14" s="70" t="s">
        <v>360</v>
      </c>
      <c r="Y14" s="71"/>
    </row>
    <row r="15" spans="1:25" ht="38.25" customHeight="1" x14ac:dyDescent="0.2">
      <c r="A15" s="66" t="s">
        <v>375</v>
      </c>
      <c r="B15" s="66" t="s">
        <v>352</v>
      </c>
      <c r="C15" s="67">
        <v>2021</v>
      </c>
      <c r="D15" s="67">
        <v>2021</v>
      </c>
      <c r="E15" s="67" t="s">
        <v>363</v>
      </c>
      <c r="F15" s="67" t="s">
        <v>353</v>
      </c>
      <c r="G15" s="67" t="s">
        <v>363</v>
      </c>
      <c r="H15" s="67" t="s">
        <v>363</v>
      </c>
      <c r="I15" s="72" t="s">
        <v>355</v>
      </c>
      <c r="J15" s="73" t="s">
        <v>364</v>
      </c>
      <c r="K15" s="67" t="s">
        <v>368</v>
      </c>
      <c r="L15" s="68" t="s">
        <v>369</v>
      </c>
      <c r="M15" s="68">
        <v>1</v>
      </c>
      <c r="N15" s="67"/>
      <c r="O15" s="68"/>
      <c r="P15" s="68"/>
      <c r="Q15" s="65">
        <f>'SP SERVIZI 22-23 '!G83</f>
        <v>3638.85</v>
      </c>
      <c r="R15" s="65"/>
      <c r="S15" s="65"/>
      <c r="T15" s="142">
        <f t="shared" si="0"/>
        <v>3638.85</v>
      </c>
      <c r="U15" s="65">
        <v>0</v>
      </c>
      <c r="V15" s="67">
        <v>0</v>
      </c>
      <c r="W15" s="74" t="s">
        <v>370</v>
      </c>
      <c r="X15" s="70" t="s">
        <v>371</v>
      </c>
      <c r="Y15" s="71"/>
    </row>
    <row r="16" spans="1:25" ht="38.25" customHeight="1" x14ac:dyDescent="0.2">
      <c r="A16" s="66" t="s">
        <v>378</v>
      </c>
      <c r="B16" s="66" t="s">
        <v>352</v>
      </c>
      <c r="C16" s="67">
        <v>2021</v>
      </c>
      <c r="D16" s="67">
        <v>2021</v>
      </c>
      <c r="E16" s="67" t="s">
        <v>363</v>
      </c>
      <c r="F16" s="67" t="s">
        <v>363</v>
      </c>
      <c r="G16" s="67" t="s">
        <v>363</v>
      </c>
      <c r="H16" s="67" t="s">
        <v>363</v>
      </c>
      <c r="I16" s="67" t="s">
        <v>355</v>
      </c>
      <c r="J16" s="68" t="s">
        <v>399</v>
      </c>
      <c r="K16" s="67" t="s">
        <v>400</v>
      </c>
      <c r="L16" s="68" t="s">
        <v>401</v>
      </c>
      <c r="M16" s="68">
        <v>1</v>
      </c>
      <c r="N16" s="67"/>
      <c r="O16" s="68"/>
      <c r="P16" s="68"/>
      <c r="Q16" s="65">
        <f>'SP SERVIZI 22-23 '!G85</f>
        <v>328543.58</v>
      </c>
      <c r="R16" s="65"/>
      <c r="S16" s="65"/>
      <c r="T16" s="142">
        <f t="shared" si="0"/>
        <v>328543.58</v>
      </c>
      <c r="U16" s="65">
        <v>0</v>
      </c>
      <c r="V16" s="67">
        <v>0</v>
      </c>
      <c r="W16" s="74" t="s">
        <v>370</v>
      </c>
      <c r="X16" s="70" t="s">
        <v>371</v>
      </c>
      <c r="Y16" s="71"/>
    </row>
    <row r="17" spans="1:25" ht="38.25" customHeight="1" x14ac:dyDescent="0.2">
      <c r="A17" s="66" t="s">
        <v>551</v>
      </c>
      <c r="B17" s="66" t="s">
        <v>352</v>
      </c>
      <c r="C17" s="67">
        <v>2021</v>
      </c>
      <c r="D17" s="67">
        <v>2021</v>
      </c>
      <c r="E17" s="67" t="s">
        <v>363</v>
      </c>
      <c r="F17" s="67" t="s">
        <v>363</v>
      </c>
      <c r="G17" s="67" t="s">
        <v>363</v>
      </c>
      <c r="H17" s="67" t="s">
        <v>363</v>
      </c>
      <c r="I17" s="67" t="s">
        <v>355</v>
      </c>
      <c r="J17" s="68" t="s">
        <v>406</v>
      </c>
      <c r="K17" s="67" t="s">
        <v>422</v>
      </c>
      <c r="L17" s="68" t="s">
        <v>502</v>
      </c>
      <c r="M17" s="68">
        <v>1</v>
      </c>
      <c r="N17" s="67"/>
      <c r="O17" s="68"/>
      <c r="P17" s="68"/>
      <c r="Q17" s="65">
        <f>'SP SERVIZI 22-23 '!M87</f>
        <v>24044.79</v>
      </c>
      <c r="R17" s="65"/>
      <c r="S17" s="65"/>
      <c r="T17" s="142">
        <f t="shared" si="0"/>
        <v>24044.79</v>
      </c>
      <c r="U17" s="65">
        <v>0</v>
      </c>
      <c r="V17" s="67">
        <v>0</v>
      </c>
      <c r="W17" s="69" t="s">
        <v>359</v>
      </c>
      <c r="X17" s="70" t="s">
        <v>360</v>
      </c>
      <c r="Y17" s="71"/>
    </row>
    <row r="18" spans="1:25" ht="38.25" customHeight="1" x14ac:dyDescent="0.2">
      <c r="A18" s="66" t="s">
        <v>381</v>
      </c>
      <c r="B18" s="66" t="s">
        <v>352</v>
      </c>
      <c r="C18" s="67">
        <v>2021</v>
      </c>
      <c r="D18" s="67">
        <v>2021</v>
      </c>
      <c r="E18" s="67" t="s">
        <v>363</v>
      </c>
      <c r="F18" s="67" t="s">
        <v>363</v>
      </c>
      <c r="G18" s="67" t="s">
        <v>363</v>
      </c>
      <c r="H18" s="67" t="s">
        <v>363</v>
      </c>
      <c r="I18" s="67" t="s">
        <v>355</v>
      </c>
      <c r="J18" s="68" t="s">
        <v>399</v>
      </c>
      <c r="K18" s="67" t="s">
        <v>403</v>
      </c>
      <c r="L18" s="68" t="s">
        <v>404</v>
      </c>
      <c r="M18" s="68">
        <v>1</v>
      </c>
      <c r="N18" s="67"/>
      <c r="O18" s="68"/>
      <c r="P18" s="68"/>
      <c r="Q18" s="65">
        <f>'SP SERVIZI 22-23 '!G89</f>
        <v>9278.51</v>
      </c>
      <c r="R18" s="65"/>
      <c r="S18" s="65"/>
      <c r="T18" s="142">
        <f t="shared" si="0"/>
        <v>9278.51</v>
      </c>
      <c r="U18" s="65">
        <v>0</v>
      </c>
      <c r="V18" s="67">
        <v>0</v>
      </c>
      <c r="W18" s="69" t="s">
        <v>359</v>
      </c>
      <c r="X18" s="70" t="s">
        <v>360</v>
      </c>
      <c r="Y18" s="71"/>
    </row>
    <row r="19" spans="1:25" ht="38.25" customHeight="1" x14ac:dyDescent="0.2">
      <c r="A19" s="66" t="s">
        <v>554</v>
      </c>
      <c r="B19" s="66" t="s">
        <v>352</v>
      </c>
      <c r="C19" s="67">
        <v>2021</v>
      </c>
      <c r="D19" s="67">
        <v>2021</v>
      </c>
      <c r="E19" s="67" t="s">
        <v>363</v>
      </c>
      <c r="F19" s="67" t="s">
        <v>363</v>
      </c>
      <c r="G19" s="67" t="s">
        <v>363</v>
      </c>
      <c r="H19" s="67" t="s">
        <v>363</v>
      </c>
      <c r="I19" s="67" t="s">
        <v>355</v>
      </c>
      <c r="J19" s="68" t="s">
        <v>356</v>
      </c>
      <c r="K19" s="67" t="s">
        <v>392</v>
      </c>
      <c r="L19" s="68" t="s">
        <v>393</v>
      </c>
      <c r="M19" s="68">
        <v>1</v>
      </c>
      <c r="N19" s="67"/>
      <c r="O19" s="68"/>
      <c r="P19" s="68"/>
      <c r="Q19" s="65">
        <f>'SP SERVIZI 22-23 '!G90</f>
        <v>23464.16</v>
      </c>
      <c r="R19" s="65"/>
      <c r="S19" s="65"/>
      <c r="T19" s="142">
        <f t="shared" si="0"/>
        <v>23464.16</v>
      </c>
      <c r="U19" s="65">
        <v>0</v>
      </c>
      <c r="V19" s="67">
        <v>0</v>
      </c>
      <c r="W19" s="69" t="s">
        <v>359</v>
      </c>
      <c r="X19" s="70" t="s">
        <v>360</v>
      </c>
      <c r="Y19" s="71"/>
    </row>
    <row r="20" spans="1:25" ht="149.25" customHeight="1" x14ac:dyDescent="0.2">
      <c r="A20" s="66" t="s">
        <v>384</v>
      </c>
      <c r="B20" s="66" t="s">
        <v>352</v>
      </c>
      <c r="C20" s="67">
        <v>2021</v>
      </c>
      <c r="D20" s="67">
        <v>2021</v>
      </c>
      <c r="E20" s="67" t="s">
        <v>353</v>
      </c>
      <c r="F20" s="67"/>
      <c r="G20" s="67"/>
      <c r="H20" s="67"/>
      <c r="I20" s="67"/>
      <c r="J20" s="68"/>
      <c r="K20" s="67" t="s">
        <v>380</v>
      </c>
      <c r="L20" s="68" t="s">
        <v>503</v>
      </c>
      <c r="M20" s="68">
        <v>1</v>
      </c>
      <c r="N20" s="67"/>
      <c r="O20" s="68"/>
      <c r="P20" s="68"/>
      <c r="Q20" s="65">
        <f>'SP SERVIZI 22-23 '!M98</f>
        <v>534020.05000000005</v>
      </c>
      <c r="R20" s="65"/>
      <c r="S20" s="65"/>
      <c r="T20" s="142">
        <f t="shared" si="0"/>
        <v>534020.05000000005</v>
      </c>
      <c r="U20" s="65"/>
      <c r="V20" s="67"/>
      <c r="W20" s="69"/>
      <c r="X20" s="70"/>
      <c r="Y20" s="71"/>
    </row>
    <row r="21" spans="1:25" ht="27.75" customHeight="1" x14ac:dyDescent="0.2">
      <c r="A21" s="66" t="s">
        <v>387</v>
      </c>
      <c r="B21" s="66" t="s">
        <v>352</v>
      </c>
      <c r="C21" s="67">
        <v>2021</v>
      </c>
      <c r="D21" s="67">
        <v>2021</v>
      </c>
      <c r="E21" s="67" t="s">
        <v>363</v>
      </c>
      <c r="F21" s="67" t="s">
        <v>363</v>
      </c>
      <c r="G21" s="67" t="s">
        <v>363</v>
      </c>
      <c r="H21" s="67" t="s">
        <v>363</v>
      </c>
      <c r="I21" s="67" t="s">
        <v>355</v>
      </c>
      <c r="J21" s="68" t="s">
        <v>406</v>
      </c>
      <c r="K21" s="67" t="s">
        <v>444</v>
      </c>
      <c r="L21" s="68" t="s">
        <v>445</v>
      </c>
      <c r="M21" s="68">
        <v>2</v>
      </c>
      <c r="N21" s="67"/>
      <c r="O21" s="68"/>
      <c r="P21" s="68"/>
      <c r="Q21" s="65">
        <f>'SP SERVIZI 22-23 '!M105</f>
        <v>54256.529999999992</v>
      </c>
      <c r="R21" s="65"/>
      <c r="S21" s="65"/>
      <c r="T21" s="142">
        <f t="shared" si="0"/>
        <v>54256.529999999992</v>
      </c>
      <c r="U21" s="65">
        <v>0</v>
      </c>
      <c r="V21" s="67">
        <v>0</v>
      </c>
      <c r="W21" s="69" t="s">
        <v>359</v>
      </c>
      <c r="X21" s="70" t="s">
        <v>360</v>
      </c>
      <c r="Y21" s="71"/>
    </row>
    <row r="22" spans="1:25" ht="68.25" customHeight="1" x14ac:dyDescent="0.2">
      <c r="A22" s="66" t="s">
        <v>388</v>
      </c>
      <c r="B22" s="66" t="s">
        <v>352</v>
      </c>
      <c r="C22" s="67">
        <v>2021</v>
      </c>
      <c r="D22" s="62">
        <v>2021</v>
      </c>
      <c r="E22" s="67" t="s">
        <v>363</v>
      </c>
      <c r="F22" s="67" t="s">
        <v>353</v>
      </c>
      <c r="G22" s="67" t="s">
        <v>363</v>
      </c>
      <c r="H22" s="67" t="s">
        <v>363</v>
      </c>
      <c r="I22" s="67" t="s">
        <v>355</v>
      </c>
      <c r="J22" s="68" t="s">
        <v>376</v>
      </c>
      <c r="K22" s="67" t="s">
        <v>377</v>
      </c>
      <c r="L22" s="68" t="s">
        <v>504</v>
      </c>
      <c r="M22" s="68">
        <v>1</v>
      </c>
      <c r="N22" s="67"/>
      <c r="O22" s="68"/>
      <c r="P22" s="68"/>
      <c r="Q22" s="65">
        <f>'SP SERVIZI 22-23 '!M119</f>
        <v>399661.38999999996</v>
      </c>
      <c r="R22" s="65"/>
      <c r="S22" s="65"/>
      <c r="T22" s="142">
        <f t="shared" si="0"/>
        <v>399661.38999999996</v>
      </c>
      <c r="U22" s="65">
        <v>0</v>
      </c>
      <c r="V22" s="67">
        <v>0</v>
      </c>
      <c r="W22" s="69" t="s">
        <v>359</v>
      </c>
      <c r="X22" s="70" t="s">
        <v>360</v>
      </c>
      <c r="Y22" s="71"/>
    </row>
    <row r="23" spans="1:25" ht="68.25" customHeight="1" x14ac:dyDescent="0.2">
      <c r="A23" s="66" t="s">
        <v>391</v>
      </c>
      <c r="B23" s="66" t="s">
        <v>352</v>
      </c>
      <c r="C23" s="67">
        <v>2021</v>
      </c>
      <c r="D23" s="67">
        <v>2021</v>
      </c>
      <c r="E23" s="67" t="s">
        <v>353</v>
      </c>
      <c r="F23" s="67"/>
      <c r="G23" s="67"/>
      <c r="H23" s="67"/>
      <c r="I23" s="67"/>
      <c r="J23" s="68"/>
      <c r="K23" s="67" t="s">
        <v>377</v>
      </c>
      <c r="L23" s="68" t="s">
        <v>505</v>
      </c>
      <c r="M23" s="68">
        <v>1</v>
      </c>
      <c r="N23" s="67"/>
      <c r="O23" s="68"/>
      <c r="P23" s="68"/>
      <c r="Q23" s="65">
        <f>'SP SERVIZI 22-23 '!M127</f>
        <v>41759</v>
      </c>
      <c r="R23" s="65"/>
      <c r="S23" s="65"/>
      <c r="T23" s="142">
        <f t="shared" si="0"/>
        <v>41759</v>
      </c>
      <c r="U23" s="65"/>
      <c r="V23" s="67"/>
      <c r="W23" s="69"/>
      <c r="X23" s="70"/>
      <c r="Y23" s="71"/>
    </row>
    <row r="24" spans="1:25" ht="38.25" customHeight="1" x14ac:dyDescent="0.2">
      <c r="A24" s="66" t="s">
        <v>394</v>
      </c>
      <c r="B24" s="66" t="s">
        <v>352</v>
      </c>
      <c r="C24" s="67">
        <v>2021</v>
      </c>
      <c r="D24" s="67">
        <v>2021</v>
      </c>
      <c r="E24" s="67" t="s">
        <v>363</v>
      </c>
      <c r="F24" s="67" t="s">
        <v>363</v>
      </c>
      <c r="G24" s="67" t="s">
        <v>363</v>
      </c>
      <c r="H24" s="67" t="s">
        <v>363</v>
      </c>
      <c r="I24" s="67" t="s">
        <v>355</v>
      </c>
      <c r="J24" s="68" t="s">
        <v>376</v>
      </c>
      <c r="K24" s="67" t="s">
        <v>385</v>
      </c>
      <c r="L24" s="68" t="s">
        <v>386</v>
      </c>
      <c r="M24" s="68">
        <v>1</v>
      </c>
      <c r="N24" s="67"/>
      <c r="O24" s="68"/>
      <c r="P24" s="68"/>
      <c r="Q24" s="65">
        <f>'SP SERVIZI 22-23 '!M154</f>
        <v>123790.54</v>
      </c>
      <c r="R24" s="65"/>
      <c r="S24" s="65"/>
      <c r="T24" s="142">
        <f t="shared" si="0"/>
        <v>123790.54</v>
      </c>
      <c r="U24" s="65">
        <v>0</v>
      </c>
      <c r="V24" s="67">
        <v>0</v>
      </c>
      <c r="W24" s="69" t="s">
        <v>359</v>
      </c>
      <c r="X24" s="70" t="s">
        <v>360</v>
      </c>
      <c r="Y24" s="71"/>
    </row>
    <row r="25" spans="1:25" ht="38.25" customHeight="1" x14ac:dyDescent="0.2">
      <c r="A25" s="66" t="s">
        <v>398</v>
      </c>
      <c r="B25" s="66" t="s">
        <v>352</v>
      </c>
      <c r="C25" s="67">
        <v>2021</v>
      </c>
      <c r="D25" s="67">
        <v>2021</v>
      </c>
      <c r="E25" s="67" t="s">
        <v>363</v>
      </c>
      <c r="F25" s="67" t="s">
        <v>363</v>
      </c>
      <c r="G25" s="67" t="s">
        <v>363</v>
      </c>
      <c r="H25" s="67" t="s">
        <v>363</v>
      </c>
      <c r="I25" s="67" t="s">
        <v>355</v>
      </c>
      <c r="J25" s="68" t="s">
        <v>376</v>
      </c>
      <c r="K25" s="67" t="s">
        <v>382</v>
      </c>
      <c r="L25" s="68" t="s">
        <v>383</v>
      </c>
      <c r="M25" s="68">
        <v>1</v>
      </c>
      <c r="N25" s="67"/>
      <c r="O25" s="68"/>
      <c r="P25" s="68"/>
      <c r="Q25" s="65">
        <f>'SP SERVIZI 22-23 '!G155</f>
        <v>25000</v>
      </c>
      <c r="R25" s="65"/>
      <c r="S25" s="65"/>
      <c r="T25" s="142">
        <f t="shared" si="0"/>
        <v>25000</v>
      </c>
      <c r="U25" s="65">
        <v>0</v>
      </c>
      <c r="V25" s="67">
        <v>0</v>
      </c>
      <c r="W25" s="69" t="s">
        <v>359</v>
      </c>
      <c r="X25" s="70" t="s">
        <v>360</v>
      </c>
      <c r="Y25" s="71"/>
    </row>
    <row r="26" spans="1:25" ht="38.25" customHeight="1" x14ac:dyDescent="0.2">
      <c r="A26" s="66" t="s">
        <v>402</v>
      </c>
      <c r="B26" s="66" t="s">
        <v>352</v>
      </c>
      <c r="C26" s="67">
        <v>2021</v>
      </c>
      <c r="D26" s="67">
        <v>2021</v>
      </c>
      <c r="E26" s="67" t="s">
        <v>363</v>
      </c>
      <c r="F26" s="67" t="s">
        <v>363</v>
      </c>
      <c r="G26" s="67" t="s">
        <v>363</v>
      </c>
      <c r="H26" s="67" t="s">
        <v>363</v>
      </c>
      <c r="I26" s="67" t="s">
        <v>355</v>
      </c>
      <c r="J26" s="68" t="s">
        <v>406</v>
      </c>
      <c r="K26" s="67" t="s">
        <v>413</v>
      </c>
      <c r="L26" s="68" t="s">
        <v>414</v>
      </c>
      <c r="M26" s="68">
        <v>1</v>
      </c>
      <c r="N26" s="67"/>
      <c r="O26" s="68"/>
      <c r="P26" s="68"/>
      <c r="Q26" s="65">
        <f>'SP SERVIZI 22-23 '!G156</f>
        <v>71316</v>
      </c>
      <c r="R26" s="65"/>
      <c r="S26" s="65"/>
      <c r="T26" s="142">
        <f t="shared" si="0"/>
        <v>71316</v>
      </c>
      <c r="U26" s="65">
        <v>0</v>
      </c>
      <c r="V26" s="67">
        <v>0</v>
      </c>
      <c r="W26" s="69" t="s">
        <v>359</v>
      </c>
      <c r="X26" s="70" t="s">
        <v>360</v>
      </c>
      <c r="Y26" s="71"/>
    </row>
    <row r="27" spans="1:25" ht="38.25" customHeight="1" x14ac:dyDescent="0.2">
      <c r="A27" s="66" t="s">
        <v>405</v>
      </c>
      <c r="B27" s="66" t="s">
        <v>352</v>
      </c>
      <c r="C27" s="67">
        <v>2021</v>
      </c>
      <c r="D27" s="67">
        <v>2021</v>
      </c>
      <c r="E27" s="67" t="s">
        <v>363</v>
      </c>
      <c r="F27" s="67" t="s">
        <v>363</v>
      </c>
      <c r="G27" s="67" t="s">
        <v>363</v>
      </c>
      <c r="H27" s="67" t="s">
        <v>363</v>
      </c>
      <c r="I27" s="67" t="s">
        <v>355</v>
      </c>
      <c r="J27" s="68" t="s">
        <v>406</v>
      </c>
      <c r="K27" s="67" t="s">
        <v>428</v>
      </c>
      <c r="L27" s="68" t="s">
        <v>429</v>
      </c>
      <c r="M27" s="68">
        <v>1</v>
      </c>
      <c r="N27" s="67"/>
      <c r="O27" s="68"/>
      <c r="P27" s="68"/>
      <c r="Q27" s="65">
        <f>'SP SERVIZI 22-23 '!G157</f>
        <v>960</v>
      </c>
      <c r="R27" s="65"/>
      <c r="S27" s="65"/>
      <c r="T27" s="142">
        <f t="shared" si="0"/>
        <v>960</v>
      </c>
      <c r="U27" s="65">
        <v>0</v>
      </c>
      <c r="V27" s="67">
        <v>0</v>
      </c>
      <c r="W27" s="69" t="s">
        <v>359</v>
      </c>
      <c r="X27" s="70" t="s">
        <v>360</v>
      </c>
      <c r="Y27" s="71"/>
    </row>
    <row r="28" spans="1:25" ht="38.25" customHeight="1" x14ac:dyDescent="0.2">
      <c r="A28" s="66" t="s">
        <v>409</v>
      </c>
      <c r="B28" s="66" t="s">
        <v>352</v>
      </c>
      <c r="C28" s="67">
        <v>2021</v>
      </c>
      <c r="D28" s="67">
        <v>2021</v>
      </c>
      <c r="E28" s="67" t="s">
        <v>363</v>
      </c>
      <c r="F28" s="67" t="s">
        <v>363</v>
      </c>
      <c r="G28" s="67" t="s">
        <v>363</v>
      </c>
      <c r="H28" s="67" t="s">
        <v>363</v>
      </c>
      <c r="I28" s="67" t="s">
        <v>355</v>
      </c>
      <c r="J28" s="68" t="s">
        <v>406</v>
      </c>
      <c r="K28" s="67" t="s">
        <v>419</v>
      </c>
      <c r="L28" s="68" t="s">
        <v>420</v>
      </c>
      <c r="M28" s="68">
        <v>1</v>
      </c>
      <c r="N28" s="67"/>
      <c r="O28" s="68"/>
      <c r="P28" s="68"/>
      <c r="Q28" s="65">
        <f>'SP SERVIZI 22-23 '!G158</f>
        <v>79.849999999999994</v>
      </c>
      <c r="R28" s="65"/>
      <c r="S28" s="65"/>
      <c r="T28" s="142">
        <f t="shared" si="0"/>
        <v>79.849999999999994</v>
      </c>
      <c r="U28" s="65">
        <v>0</v>
      </c>
      <c r="V28" s="67">
        <v>0</v>
      </c>
      <c r="W28" s="69" t="s">
        <v>359</v>
      </c>
      <c r="X28" s="70" t="s">
        <v>360</v>
      </c>
      <c r="Y28" s="71"/>
    </row>
    <row r="29" spans="1:25" ht="38.25" customHeight="1" x14ac:dyDescent="0.2">
      <c r="A29" s="66" t="s">
        <v>412</v>
      </c>
      <c r="B29" s="66" t="s">
        <v>352</v>
      </c>
      <c r="C29" s="67">
        <v>2021</v>
      </c>
      <c r="D29" s="67">
        <v>2021</v>
      </c>
      <c r="E29" s="67" t="s">
        <v>363</v>
      </c>
      <c r="F29" s="67" t="s">
        <v>363</v>
      </c>
      <c r="G29" s="67" t="s">
        <v>363</v>
      </c>
      <c r="H29" s="67" t="s">
        <v>363</v>
      </c>
      <c r="I29" s="67" t="s">
        <v>355</v>
      </c>
      <c r="J29" s="68" t="s">
        <v>406</v>
      </c>
      <c r="K29" s="67" t="s">
        <v>438</v>
      </c>
      <c r="L29" s="68" t="s">
        <v>439</v>
      </c>
      <c r="M29" s="68">
        <v>1</v>
      </c>
      <c r="N29" s="67"/>
      <c r="O29" s="68"/>
      <c r="P29" s="68"/>
      <c r="Q29" s="65">
        <f>'SP SERVIZI 22-23 '!G159</f>
        <v>520</v>
      </c>
      <c r="R29" s="65"/>
      <c r="S29" s="65"/>
      <c r="T29" s="142">
        <f t="shared" si="0"/>
        <v>520</v>
      </c>
      <c r="U29" s="65">
        <v>0</v>
      </c>
      <c r="V29" s="67">
        <v>0</v>
      </c>
      <c r="W29" s="69" t="s">
        <v>359</v>
      </c>
      <c r="X29" s="70" t="s">
        <v>360</v>
      </c>
      <c r="Y29" s="71"/>
    </row>
    <row r="30" spans="1:25" ht="38.25" customHeight="1" x14ac:dyDescent="0.2">
      <c r="A30" s="66" t="s">
        <v>415</v>
      </c>
      <c r="B30" s="66" t="s">
        <v>352</v>
      </c>
      <c r="C30" s="67">
        <v>2021</v>
      </c>
      <c r="D30" s="67">
        <v>2021</v>
      </c>
      <c r="E30" s="67" t="s">
        <v>363</v>
      </c>
      <c r="F30" s="67" t="s">
        <v>363</v>
      </c>
      <c r="G30" s="67" t="s">
        <v>353</v>
      </c>
      <c r="H30" s="67" t="s">
        <v>363</v>
      </c>
      <c r="I30" s="67" t="s">
        <v>355</v>
      </c>
      <c r="J30" s="68" t="s">
        <v>376</v>
      </c>
      <c r="K30" s="67" t="s">
        <v>379</v>
      </c>
      <c r="L30" s="68" t="s">
        <v>321</v>
      </c>
      <c r="M30" s="68">
        <v>1</v>
      </c>
      <c r="N30" s="67"/>
      <c r="O30" s="68"/>
      <c r="P30" s="68"/>
      <c r="Q30" s="65">
        <f>'SP SERVIZI 22-23 '!G160</f>
        <v>1250</v>
      </c>
      <c r="R30" s="65"/>
      <c r="S30" s="65"/>
      <c r="T30" s="142">
        <f t="shared" si="0"/>
        <v>1250</v>
      </c>
      <c r="U30" s="65">
        <v>0</v>
      </c>
      <c r="V30" s="67">
        <v>0</v>
      </c>
      <c r="W30" s="69" t="s">
        <v>359</v>
      </c>
      <c r="X30" s="70" t="s">
        <v>360</v>
      </c>
      <c r="Y30" s="71"/>
    </row>
    <row r="31" spans="1:25" ht="38.25" customHeight="1" x14ac:dyDescent="0.25">
      <c r="A31" s="66" t="s">
        <v>418</v>
      </c>
      <c r="B31" s="66" t="s">
        <v>352</v>
      </c>
      <c r="C31" s="67">
        <v>2021</v>
      </c>
      <c r="D31" s="67">
        <v>2021</v>
      </c>
      <c r="E31" s="67" t="s">
        <v>353</v>
      </c>
      <c r="F31" s="67"/>
      <c r="G31" s="67"/>
      <c r="H31" s="67"/>
      <c r="I31" s="67"/>
      <c r="J31" s="68"/>
      <c r="K31" t="s">
        <v>601</v>
      </c>
      <c r="L31" s="68" t="s">
        <v>322</v>
      </c>
      <c r="M31" s="68">
        <v>1</v>
      </c>
      <c r="N31" s="67"/>
      <c r="O31" s="68"/>
      <c r="P31" s="68"/>
      <c r="Q31" s="65">
        <f>'SP SERVIZI 22-23 '!G161</f>
        <v>2000</v>
      </c>
      <c r="R31" s="65"/>
      <c r="S31" s="65"/>
      <c r="T31" s="142">
        <f t="shared" si="0"/>
        <v>2000</v>
      </c>
      <c r="U31" s="65"/>
      <c r="V31" s="67"/>
      <c r="W31" s="69"/>
      <c r="X31" s="70"/>
      <c r="Y31" s="71"/>
    </row>
    <row r="32" spans="1:25" ht="38.25" customHeight="1" x14ac:dyDescent="0.2">
      <c r="A32" s="66" t="s">
        <v>421</v>
      </c>
      <c r="B32" s="66" t="s">
        <v>352</v>
      </c>
      <c r="C32" s="67">
        <v>2021</v>
      </c>
      <c r="D32" s="67">
        <v>2021</v>
      </c>
      <c r="E32" s="67" t="s">
        <v>363</v>
      </c>
      <c r="F32" s="67" t="s">
        <v>363</v>
      </c>
      <c r="G32" s="67" t="s">
        <v>363</v>
      </c>
      <c r="H32" s="67" t="s">
        <v>363</v>
      </c>
      <c r="I32" s="67" t="s">
        <v>355</v>
      </c>
      <c r="J32" s="68" t="s">
        <v>406</v>
      </c>
      <c r="K32" s="67" t="s">
        <v>434</v>
      </c>
      <c r="L32" s="68" t="s">
        <v>507</v>
      </c>
      <c r="M32" s="68">
        <v>1</v>
      </c>
      <c r="N32" s="67"/>
      <c r="O32" s="68"/>
      <c r="P32" s="68"/>
      <c r="Q32" s="65">
        <f>'SP SERVIZI 22-23 '!G162</f>
        <v>7094.05</v>
      </c>
      <c r="R32" s="65"/>
      <c r="S32" s="65"/>
      <c r="T32" s="142">
        <f t="shared" si="0"/>
        <v>7094.05</v>
      </c>
      <c r="U32" s="65">
        <v>0</v>
      </c>
      <c r="V32" s="67">
        <v>0</v>
      </c>
      <c r="W32" s="69" t="s">
        <v>359</v>
      </c>
      <c r="X32" s="70" t="s">
        <v>360</v>
      </c>
      <c r="Y32" s="71"/>
    </row>
    <row r="33" spans="1:25" ht="38.25" customHeight="1" x14ac:dyDescent="0.25">
      <c r="A33" s="66" t="s">
        <v>423</v>
      </c>
      <c r="B33" s="66" t="s">
        <v>352</v>
      </c>
      <c r="C33" s="67">
        <v>2021</v>
      </c>
      <c r="D33" s="67">
        <v>2021</v>
      </c>
      <c r="E33" s="67" t="s">
        <v>363</v>
      </c>
      <c r="F33" s="67"/>
      <c r="G33" s="67"/>
      <c r="H33" s="67"/>
      <c r="I33" s="67"/>
      <c r="J33" s="68"/>
      <c r="K33" t="s">
        <v>602</v>
      </c>
      <c r="L33" s="68" t="s">
        <v>508</v>
      </c>
      <c r="M33" s="68">
        <v>1</v>
      </c>
      <c r="N33" s="67"/>
      <c r="O33" s="68"/>
      <c r="P33" s="68"/>
      <c r="Q33" s="65">
        <f>'SP SERVIZI 22-23 '!G163</f>
        <v>9920</v>
      </c>
      <c r="R33" s="65"/>
      <c r="S33" s="65"/>
      <c r="T33" s="142">
        <f t="shared" si="0"/>
        <v>9920</v>
      </c>
      <c r="U33" s="65"/>
      <c r="V33" s="67"/>
      <c r="W33" s="69"/>
      <c r="X33" s="70"/>
      <c r="Y33" s="71"/>
    </row>
    <row r="34" spans="1:25" ht="38.25" customHeight="1" x14ac:dyDescent="0.25">
      <c r="A34" s="66" t="s">
        <v>427</v>
      </c>
      <c r="B34" s="66" t="s">
        <v>352</v>
      </c>
      <c r="C34" s="67">
        <v>2021</v>
      </c>
      <c r="D34" s="67">
        <v>2021</v>
      </c>
      <c r="E34" s="67" t="s">
        <v>363</v>
      </c>
      <c r="F34" s="67"/>
      <c r="G34" s="67"/>
      <c r="H34" s="67"/>
      <c r="I34" s="67"/>
      <c r="J34" s="68"/>
      <c r="K34" t="s">
        <v>602</v>
      </c>
      <c r="L34" s="68" t="s">
        <v>509</v>
      </c>
      <c r="M34" s="68">
        <v>1</v>
      </c>
      <c r="N34" s="67"/>
      <c r="O34" s="68"/>
      <c r="P34" s="68"/>
      <c r="Q34" s="65">
        <f>'SP SERVIZI 22-23 '!G164</f>
        <v>5200</v>
      </c>
      <c r="R34" s="65"/>
      <c r="S34" s="65"/>
      <c r="T34" s="142">
        <f t="shared" si="0"/>
        <v>5200</v>
      </c>
      <c r="U34" s="65"/>
      <c r="V34" s="67"/>
      <c r="W34" s="69"/>
      <c r="X34" s="70"/>
      <c r="Y34" s="71"/>
    </row>
    <row r="35" spans="1:25" ht="38.25" customHeight="1" x14ac:dyDescent="0.25">
      <c r="A35" s="66" t="s">
        <v>430</v>
      </c>
      <c r="B35" s="66" t="s">
        <v>352</v>
      </c>
      <c r="C35" s="67">
        <v>2021</v>
      </c>
      <c r="D35" s="67">
        <v>2021</v>
      </c>
      <c r="E35" s="67" t="s">
        <v>363</v>
      </c>
      <c r="F35" s="67"/>
      <c r="G35" s="67"/>
      <c r="H35" s="67"/>
      <c r="I35" s="67"/>
      <c r="J35" s="68"/>
      <c r="K35" t="s">
        <v>602</v>
      </c>
      <c r="L35" s="68" t="s">
        <v>323</v>
      </c>
      <c r="M35" s="68">
        <v>1</v>
      </c>
      <c r="N35" s="67"/>
      <c r="O35" s="68"/>
      <c r="P35" s="68"/>
      <c r="Q35" s="65">
        <f>'SP SERVIZI 22-23 '!G165</f>
        <v>0</v>
      </c>
      <c r="R35" s="65"/>
      <c r="S35" s="65"/>
      <c r="T35" s="142">
        <f t="shared" si="0"/>
        <v>0</v>
      </c>
      <c r="U35" s="65"/>
      <c r="V35" s="67"/>
      <c r="W35" s="69"/>
      <c r="X35" s="70"/>
      <c r="Y35" s="71"/>
    </row>
    <row r="36" spans="1:25" ht="38.25" customHeight="1" x14ac:dyDescent="0.2">
      <c r="A36" s="66" t="s">
        <v>574</v>
      </c>
      <c r="B36" s="66" t="s">
        <v>352</v>
      </c>
      <c r="C36" s="67">
        <v>2021</v>
      </c>
      <c r="D36" s="67">
        <v>2021</v>
      </c>
      <c r="E36" s="67" t="s">
        <v>363</v>
      </c>
      <c r="F36" s="67" t="s">
        <v>363</v>
      </c>
      <c r="G36" s="67" t="s">
        <v>363</v>
      </c>
      <c r="H36" s="67" t="s">
        <v>363</v>
      </c>
      <c r="I36" s="67" t="s">
        <v>355</v>
      </c>
      <c r="J36" s="68" t="s">
        <v>406</v>
      </c>
      <c r="K36" s="67" t="s">
        <v>431</v>
      </c>
      <c r="L36" s="68" t="s">
        <v>432</v>
      </c>
      <c r="M36" s="68">
        <v>1</v>
      </c>
      <c r="N36" s="67"/>
      <c r="O36" s="68"/>
      <c r="P36" s="68"/>
      <c r="Q36" s="65">
        <f>'SP SERVIZI 22-23 '!G166</f>
        <v>3380</v>
      </c>
      <c r="R36" s="65"/>
      <c r="S36" s="65"/>
      <c r="T36" s="142">
        <f t="shared" si="0"/>
        <v>3380</v>
      </c>
      <c r="U36" s="65">
        <v>0</v>
      </c>
      <c r="V36" s="67">
        <v>0</v>
      </c>
      <c r="W36" s="69" t="s">
        <v>359</v>
      </c>
      <c r="X36" s="70" t="s">
        <v>360</v>
      </c>
      <c r="Y36" s="71"/>
    </row>
    <row r="37" spans="1:25" ht="38.25" customHeight="1" x14ac:dyDescent="0.2">
      <c r="A37" s="66" t="s">
        <v>575</v>
      </c>
      <c r="B37" s="66" t="s">
        <v>352</v>
      </c>
      <c r="C37" s="67">
        <v>2021</v>
      </c>
      <c r="D37" s="67">
        <v>2021</v>
      </c>
      <c r="E37" s="67" t="s">
        <v>354</v>
      </c>
      <c r="F37" s="67"/>
      <c r="G37" s="67"/>
      <c r="H37" s="67"/>
      <c r="I37" s="67"/>
      <c r="J37" s="68"/>
      <c r="K37" s="67" t="s">
        <v>379</v>
      </c>
      <c r="L37" s="68" t="s">
        <v>511</v>
      </c>
      <c r="M37" s="68">
        <v>1</v>
      </c>
      <c r="N37" s="67"/>
      <c r="O37" s="68"/>
      <c r="P37" s="68"/>
      <c r="Q37" s="65">
        <f>'SP SERVIZI 22-23 '!G167</f>
        <v>1050.94</v>
      </c>
      <c r="R37" s="65"/>
      <c r="S37" s="65"/>
      <c r="T37" s="142">
        <f t="shared" si="0"/>
        <v>1050.94</v>
      </c>
      <c r="U37" s="65"/>
      <c r="V37" s="67"/>
      <c r="W37" s="69"/>
      <c r="X37" s="70"/>
      <c r="Y37" s="71"/>
    </row>
    <row r="38" spans="1:25" ht="38.25" customHeight="1" x14ac:dyDescent="0.2">
      <c r="A38" s="66" t="s">
        <v>433</v>
      </c>
      <c r="B38" s="66" t="s">
        <v>352</v>
      </c>
      <c r="C38" s="67">
        <v>2021</v>
      </c>
      <c r="D38" s="67">
        <v>2021</v>
      </c>
      <c r="E38" s="67" t="s">
        <v>363</v>
      </c>
      <c r="F38" s="67" t="s">
        <v>363</v>
      </c>
      <c r="G38" s="67" t="s">
        <v>363</v>
      </c>
      <c r="H38" s="67" t="s">
        <v>363</v>
      </c>
      <c r="I38" s="67" t="s">
        <v>355</v>
      </c>
      <c r="J38" s="68" t="s">
        <v>406</v>
      </c>
      <c r="K38" s="67" t="s">
        <v>407</v>
      </c>
      <c r="L38" s="68" t="s">
        <v>408</v>
      </c>
      <c r="M38" s="68">
        <v>1</v>
      </c>
      <c r="N38" s="67"/>
      <c r="O38" s="68"/>
      <c r="P38" s="68"/>
      <c r="Q38" s="65">
        <f>'SP SERVIZI 22-23 '!M171</f>
        <v>6616.48</v>
      </c>
      <c r="R38" s="65"/>
      <c r="S38" s="65"/>
      <c r="T38" s="142">
        <f t="shared" si="0"/>
        <v>6616.48</v>
      </c>
      <c r="U38" s="65">
        <v>0</v>
      </c>
      <c r="V38" s="67">
        <v>0</v>
      </c>
      <c r="W38" s="69" t="s">
        <v>359</v>
      </c>
      <c r="X38" s="70" t="s">
        <v>360</v>
      </c>
      <c r="Y38" s="71"/>
    </row>
    <row r="39" spans="1:25" ht="38.25" customHeight="1" x14ac:dyDescent="0.2">
      <c r="A39" s="66" t="s">
        <v>435</v>
      </c>
      <c r="B39" s="66" t="s">
        <v>352</v>
      </c>
      <c r="C39" s="67">
        <v>2021</v>
      </c>
      <c r="D39" s="67">
        <v>2021</v>
      </c>
      <c r="E39" s="67" t="s">
        <v>363</v>
      </c>
      <c r="F39" s="67" t="s">
        <v>363</v>
      </c>
      <c r="G39" s="67" t="s">
        <v>363</v>
      </c>
      <c r="H39" s="67" t="s">
        <v>363</v>
      </c>
      <c r="I39" s="67" t="s">
        <v>355</v>
      </c>
      <c r="J39" s="68" t="s">
        <v>399</v>
      </c>
      <c r="K39" s="67" t="s">
        <v>441</v>
      </c>
      <c r="L39" s="68" t="s">
        <v>442</v>
      </c>
      <c r="M39" s="68">
        <v>2</v>
      </c>
      <c r="N39" s="67"/>
      <c r="O39" s="68"/>
      <c r="P39" s="68"/>
      <c r="Q39" s="65">
        <f>'SP SERVIZI 22-23 '!G172</f>
        <v>50000</v>
      </c>
      <c r="R39" s="65"/>
      <c r="S39" s="65"/>
      <c r="T39" s="142">
        <f t="shared" si="0"/>
        <v>50000</v>
      </c>
      <c r="U39" s="65">
        <v>0</v>
      </c>
      <c r="V39" s="67">
        <v>0</v>
      </c>
      <c r="W39" s="69" t="s">
        <v>359</v>
      </c>
      <c r="X39" s="70" t="s">
        <v>360</v>
      </c>
      <c r="Y39" s="71"/>
    </row>
    <row r="40" spans="1:25" ht="38.25" customHeight="1" x14ac:dyDescent="0.2">
      <c r="A40" s="66" t="s">
        <v>437</v>
      </c>
      <c r="B40" s="66" t="s">
        <v>352</v>
      </c>
      <c r="C40" s="67">
        <v>2021</v>
      </c>
      <c r="D40" s="67">
        <v>2021</v>
      </c>
      <c r="E40" s="67" t="s">
        <v>363</v>
      </c>
      <c r="F40" s="67" t="s">
        <v>363</v>
      </c>
      <c r="G40" s="67" t="s">
        <v>363</v>
      </c>
      <c r="H40" s="67" t="s">
        <v>363</v>
      </c>
      <c r="I40" s="67" t="s">
        <v>355</v>
      </c>
      <c r="J40" s="68" t="s">
        <v>406</v>
      </c>
      <c r="K40" s="67" t="s">
        <v>410</v>
      </c>
      <c r="L40" s="68" t="s">
        <v>411</v>
      </c>
      <c r="M40" s="68">
        <v>1</v>
      </c>
      <c r="N40" s="67"/>
      <c r="O40" s="68"/>
      <c r="P40" s="68"/>
      <c r="Q40" s="65">
        <f>'SP SERVIZI 22-23 '!G173</f>
        <v>698.36</v>
      </c>
      <c r="R40" s="65"/>
      <c r="S40" s="65"/>
      <c r="T40" s="142">
        <f t="shared" si="0"/>
        <v>698.36</v>
      </c>
      <c r="U40" s="65">
        <v>0</v>
      </c>
      <c r="V40" s="67">
        <v>0</v>
      </c>
      <c r="W40" s="69" t="s">
        <v>359</v>
      </c>
      <c r="X40" s="70" t="s">
        <v>360</v>
      </c>
      <c r="Y40" s="71"/>
    </row>
    <row r="41" spans="1:25" ht="38.25" customHeight="1" x14ac:dyDescent="0.2">
      <c r="A41" s="66" t="s">
        <v>440</v>
      </c>
      <c r="B41" s="66" t="s">
        <v>352</v>
      </c>
      <c r="C41" s="67">
        <v>2021</v>
      </c>
      <c r="D41" s="67">
        <v>2021</v>
      </c>
      <c r="E41" s="67" t="s">
        <v>363</v>
      </c>
      <c r="F41" s="67" t="s">
        <v>363</v>
      </c>
      <c r="G41" s="67" t="s">
        <v>363</v>
      </c>
      <c r="H41" s="67" t="s">
        <v>363</v>
      </c>
      <c r="I41" s="67" t="s">
        <v>355</v>
      </c>
      <c r="J41" s="68" t="s">
        <v>376</v>
      </c>
      <c r="K41" s="67" t="s">
        <v>389</v>
      </c>
      <c r="L41" s="68" t="s">
        <v>390</v>
      </c>
      <c r="M41" s="68">
        <v>1</v>
      </c>
      <c r="N41" s="67"/>
      <c r="O41" s="68"/>
      <c r="P41" s="68"/>
      <c r="Q41" s="65">
        <f>'SP SERVIZI 22-23 '!G174</f>
        <v>0</v>
      </c>
      <c r="R41" s="65"/>
      <c r="S41" s="65"/>
      <c r="T41" s="142">
        <f t="shared" si="0"/>
        <v>0</v>
      </c>
      <c r="U41" s="65">
        <v>0</v>
      </c>
      <c r="V41" s="67">
        <v>0</v>
      </c>
      <c r="W41" s="69" t="s">
        <v>359</v>
      </c>
      <c r="X41" s="70" t="s">
        <v>360</v>
      </c>
      <c r="Y41" s="71"/>
    </row>
    <row r="42" spans="1:25" ht="38.25" customHeight="1" x14ac:dyDescent="0.2">
      <c r="A42" s="66" t="s">
        <v>443</v>
      </c>
      <c r="B42" s="66" t="s">
        <v>352</v>
      </c>
      <c r="C42" s="67">
        <v>2021</v>
      </c>
      <c r="D42" s="67">
        <v>2021</v>
      </c>
      <c r="E42" s="67" t="s">
        <v>363</v>
      </c>
      <c r="F42" s="67" t="s">
        <v>363</v>
      </c>
      <c r="G42" s="67" t="s">
        <v>363</v>
      </c>
      <c r="H42" s="67" t="s">
        <v>363</v>
      </c>
      <c r="I42" s="67" t="s">
        <v>355</v>
      </c>
      <c r="J42" s="68" t="s">
        <v>406</v>
      </c>
      <c r="K42" s="67" t="s">
        <v>416</v>
      </c>
      <c r="L42" s="68" t="s">
        <v>436</v>
      </c>
      <c r="M42" s="68">
        <v>1</v>
      </c>
      <c r="N42" s="67"/>
      <c r="O42" s="68"/>
      <c r="P42" s="68"/>
      <c r="Q42" s="65">
        <f>'SP SERVIZI 22-23 '!G175</f>
        <v>1000</v>
      </c>
      <c r="R42" s="65"/>
      <c r="S42" s="65"/>
      <c r="T42" s="142">
        <f t="shared" si="0"/>
        <v>1000</v>
      </c>
      <c r="U42" s="65">
        <v>0</v>
      </c>
      <c r="V42" s="67">
        <v>0</v>
      </c>
      <c r="W42" s="69" t="s">
        <v>359</v>
      </c>
      <c r="X42" s="70" t="s">
        <v>360</v>
      </c>
      <c r="Y42" s="71"/>
    </row>
    <row r="43" spans="1:25" ht="38.25" customHeight="1" x14ac:dyDescent="0.2">
      <c r="A43" s="66" t="s">
        <v>446</v>
      </c>
      <c r="B43" s="66" t="s">
        <v>352</v>
      </c>
      <c r="C43" s="67">
        <v>2021</v>
      </c>
      <c r="D43" s="67">
        <v>2021</v>
      </c>
      <c r="E43" s="67" t="s">
        <v>363</v>
      </c>
      <c r="F43" s="67"/>
      <c r="G43" s="67"/>
      <c r="H43" s="67"/>
      <c r="I43" s="67"/>
      <c r="J43" s="68"/>
      <c r="K43" s="67" t="s">
        <v>416</v>
      </c>
      <c r="L43" s="68" t="s">
        <v>510</v>
      </c>
      <c r="M43" s="68">
        <v>1</v>
      </c>
      <c r="N43" s="67"/>
      <c r="O43" s="68"/>
      <c r="P43" s="68"/>
      <c r="Q43" s="65">
        <f>'SP SERVIZI 22-23 '!G176</f>
        <v>9476.5600000000013</v>
      </c>
      <c r="R43" s="65"/>
      <c r="S43" s="65"/>
      <c r="T43" s="142">
        <f t="shared" si="0"/>
        <v>9476.5600000000013</v>
      </c>
      <c r="U43" s="65"/>
      <c r="V43" s="67"/>
      <c r="W43" s="69"/>
      <c r="X43" s="70"/>
      <c r="Y43" s="71"/>
    </row>
    <row r="44" spans="1:25" ht="38.25" customHeight="1" x14ac:dyDescent="0.2">
      <c r="A44" s="66" t="s">
        <v>449</v>
      </c>
      <c r="B44" s="66" t="s">
        <v>352</v>
      </c>
      <c r="C44" s="67">
        <v>2021</v>
      </c>
      <c r="D44" s="67">
        <v>2021</v>
      </c>
      <c r="E44" s="67" t="s">
        <v>363</v>
      </c>
      <c r="F44" s="67"/>
      <c r="G44" s="67"/>
      <c r="H44" s="67"/>
      <c r="I44" s="67"/>
      <c r="J44" s="68"/>
      <c r="K44" s="67" t="s">
        <v>416</v>
      </c>
      <c r="L44" s="68" t="s">
        <v>324</v>
      </c>
      <c r="M44" s="68">
        <v>1</v>
      </c>
      <c r="N44" s="67"/>
      <c r="O44" s="68"/>
      <c r="P44" s="68"/>
      <c r="Q44" s="65">
        <f>'SP SERVIZI 22-23 '!G177</f>
        <v>1792</v>
      </c>
      <c r="R44" s="65"/>
      <c r="S44" s="65"/>
      <c r="T44" s="142">
        <f t="shared" si="0"/>
        <v>1792</v>
      </c>
      <c r="U44" s="65"/>
      <c r="V44" s="67"/>
      <c r="W44" s="69"/>
      <c r="X44" s="70"/>
      <c r="Y44" s="71"/>
    </row>
    <row r="45" spans="1:25" ht="38.25" customHeight="1" x14ac:dyDescent="0.2">
      <c r="A45" s="66" t="s">
        <v>452</v>
      </c>
      <c r="B45" s="66" t="s">
        <v>352</v>
      </c>
      <c r="C45" s="67">
        <v>2021</v>
      </c>
      <c r="D45" s="67">
        <v>2021</v>
      </c>
      <c r="E45" s="67" t="s">
        <v>363</v>
      </c>
      <c r="F45" s="67" t="s">
        <v>363</v>
      </c>
      <c r="G45" s="67" t="s">
        <v>363</v>
      </c>
      <c r="H45" s="67" t="s">
        <v>363</v>
      </c>
      <c r="I45" s="67" t="s">
        <v>355</v>
      </c>
      <c r="J45" s="68" t="s">
        <v>376</v>
      </c>
      <c r="K45" s="67" t="s">
        <v>380</v>
      </c>
      <c r="L45" s="68" t="s">
        <v>506</v>
      </c>
      <c r="M45" s="68">
        <v>1</v>
      </c>
      <c r="N45" s="67"/>
      <c r="O45" s="68"/>
      <c r="P45" s="68"/>
      <c r="Q45" s="65">
        <f>'SP SERVIZI 22-23 '!M186</f>
        <v>102253.82</v>
      </c>
      <c r="R45" s="65"/>
      <c r="S45" s="65"/>
      <c r="T45" s="142">
        <f t="shared" si="0"/>
        <v>102253.82</v>
      </c>
      <c r="U45" s="65">
        <v>0</v>
      </c>
      <c r="V45" s="67">
        <v>0</v>
      </c>
      <c r="W45" s="69" t="s">
        <v>359</v>
      </c>
      <c r="X45" s="70" t="s">
        <v>360</v>
      </c>
      <c r="Y45" s="71"/>
    </row>
    <row r="46" spans="1:25" ht="38.25" customHeight="1" x14ac:dyDescent="0.2">
      <c r="A46" s="66" t="s">
        <v>576</v>
      </c>
      <c r="B46" s="66" t="s">
        <v>352</v>
      </c>
      <c r="C46" s="67">
        <v>2021</v>
      </c>
      <c r="D46" s="67">
        <v>2021</v>
      </c>
      <c r="E46" s="67" t="s">
        <v>363</v>
      </c>
      <c r="F46" s="67" t="s">
        <v>363</v>
      </c>
      <c r="G46" s="67" t="s">
        <v>363</v>
      </c>
      <c r="H46" s="67" t="s">
        <v>363</v>
      </c>
      <c r="I46" s="67" t="s">
        <v>355</v>
      </c>
      <c r="J46" s="68" t="s">
        <v>395</v>
      </c>
      <c r="K46" s="67" t="s">
        <v>396</v>
      </c>
      <c r="L46" s="68" t="s">
        <v>397</v>
      </c>
      <c r="M46" s="68">
        <v>1</v>
      </c>
      <c r="N46" s="67"/>
      <c r="O46" s="68"/>
      <c r="P46" s="68"/>
      <c r="Q46" s="65">
        <v>0</v>
      </c>
      <c r="R46" s="65"/>
      <c r="S46" s="65"/>
      <c r="T46" s="142">
        <f t="shared" si="0"/>
        <v>0</v>
      </c>
      <c r="U46" s="65">
        <v>0</v>
      </c>
      <c r="V46" s="67">
        <v>0</v>
      </c>
      <c r="W46" s="69" t="s">
        <v>359</v>
      </c>
      <c r="X46" s="70" t="s">
        <v>360</v>
      </c>
      <c r="Y46" s="71"/>
    </row>
    <row r="47" spans="1:25" ht="38.25" customHeight="1" x14ac:dyDescent="0.2">
      <c r="A47" s="66" t="s">
        <v>577</v>
      </c>
      <c r="B47" s="66" t="s">
        <v>352</v>
      </c>
      <c r="C47" s="67">
        <v>2021</v>
      </c>
      <c r="D47" s="67">
        <v>2021</v>
      </c>
      <c r="E47" s="67" t="s">
        <v>363</v>
      </c>
      <c r="F47" s="67" t="s">
        <v>363</v>
      </c>
      <c r="G47" s="67" t="s">
        <v>363</v>
      </c>
      <c r="H47" s="67" t="s">
        <v>363</v>
      </c>
      <c r="I47" s="67" t="s">
        <v>355</v>
      </c>
      <c r="J47" s="68" t="s">
        <v>406</v>
      </c>
      <c r="K47" s="67" t="s">
        <v>416</v>
      </c>
      <c r="L47" s="75" t="s">
        <v>417</v>
      </c>
      <c r="M47" s="68">
        <v>1</v>
      </c>
      <c r="N47" s="67"/>
      <c r="O47" s="68"/>
      <c r="P47" s="68"/>
      <c r="Q47" s="65">
        <v>0</v>
      </c>
      <c r="R47" s="65"/>
      <c r="S47" s="65"/>
      <c r="T47" s="142">
        <f t="shared" si="0"/>
        <v>0</v>
      </c>
      <c r="U47" s="65">
        <v>0</v>
      </c>
      <c r="V47" s="67">
        <v>0</v>
      </c>
      <c r="W47" s="69" t="s">
        <v>359</v>
      </c>
      <c r="X47" s="70" t="s">
        <v>360</v>
      </c>
      <c r="Y47" s="71"/>
    </row>
    <row r="48" spans="1:25" ht="38.25" customHeight="1" x14ac:dyDescent="0.2">
      <c r="A48" s="66" t="s">
        <v>578</v>
      </c>
      <c r="B48" s="66" t="s">
        <v>352</v>
      </c>
      <c r="C48" s="67">
        <v>2021</v>
      </c>
      <c r="D48" s="67">
        <v>2021</v>
      </c>
      <c r="E48" s="67" t="s">
        <v>363</v>
      </c>
      <c r="F48" s="67" t="s">
        <v>363</v>
      </c>
      <c r="G48" s="67" t="s">
        <v>363</v>
      </c>
      <c r="H48" s="67" t="s">
        <v>363</v>
      </c>
      <c r="I48" s="67" t="s">
        <v>355</v>
      </c>
      <c r="J48" s="68" t="s">
        <v>424</v>
      </c>
      <c r="K48" s="67" t="s">
        <v>425</v>
      </c>
      <c r="L48" s="68" t="s">
        <v>426</v>
      </c>
      <c r="M48" s="68">
        <v>1</v>
      </c>
      <c r="N48" s="67"/>
      <c r="O48" s="68"/>
      <c r="P48" s="68"/>
      <c r="Q48" s="65">
        <v>0</v>
      </c>
      <c r="R48" s="65"/>
      <c r="S48" s="65"/>
      <c r="T48" s="142">
        <f t="shared" si="0"/>
        <v>0</v>
      </c>
      <c r="U48" s="65">
        <v>0</v>
      </c>
      <c r="V48" s="67">
        <v>0</v>
      </c>
      <c r="W48" s="69" t="s">
        <v>359</v>
      </c>
      <c r="X48" s="70" t="s">
        <v>360</v>
      </c>
      <c r="Y48" s="71"/>
    </row>
    <row r="49" spans="1:25" s="124" customFormat="1" ht="38.25" customHeight="1" x14ac:dyDescent="0.25">
      <c r="A49" s="66" t="s">
        <v>588</v>
      </c>
      <c r="B49" s="66" t="s">
        <v>352</v>
      </c>
      <c r="C49" s="67">
        <v>2021</v>
      </c>
      <c r="D49" s="67">
        <v>2021</v>
      </c>
      <c r="E49" s="67" t="s">
        <v>363</v>
      </c>
      <c r="F49" s="118"/>
      <c r="G49" s="118"/>
      <c r="H49" s="118"/>
      <c r="I49" s="118"/>
      <c r="J49" s="119"/>
      <c r="K49" t="s">
        <v>592</v>
      </c>
      <c r="L49" s="68" t="s">
        <v>528</v>
      </c>
      <c r="M49" s="68">
        <v>1</v>
      </c>
      <c r="N49" s="118"/>
      <c r="O49" s="119"/>
      <c r="P49" s="68"/>
      <c r="Q49" s="139">
        <f>'SP SERVIZI 22-23 '!G188</f>
        <v>4292.8100000000004</v>
      </c>
      <c r="R49" s="139"/>
      <c r="S49" s="139"/>
      <c r="T49" s="142">
        <f t="shared" si="0"/>
        <v>4292.8100000000004</v>
      </c>
      <c r="U49" s="120"/>
      <c r="V49" s="118"/>
      <c r="W49" s="121"/>
      <c r="X49" s="122"/>
      <c r="Y49" s="123"/>
    </row>
    <row r="50" spans="1:25" ht="38.25" customHeight="1" x14ac:dyDescent="0.25">
      <c r="A50" s="66" t="s">
        <v>589</v>
      </c>
      <c r="B50" s="66" t="s">
        <v>352</v>
      </c>
      <c r="C50" s="67">
        <v>2021</v>
      </c>
      <c r="D50" s="67">
        <v>2021</v>
      </c>
      <c r="E50" s="67" t="s">
        <v>363</v>
      </c>
      <c r="F50" s="67"/>
      <c r="G50" s="67"/>
      <c r="H50" s="67"/>
      <c r="I50" s="67"/>
      <c r="J50" s="68"/>
      <c r="K50" t="s">
        <v>593</v>
      </c>
      <c r="L50" s="68" t="s">
        <v>529</v>
      </c>
      <c r="M50" s="68">
        <v>1</v>
      </c>
      <c r="N50" s="67"/>
      <c r="O50" s="68"/>
      <c r="P50" s="68"/>
      <c r="Q50" s="65">
        <f>'SP SERVIZI 22-23 '!M191</f>
        <v>50028.83</v>
      </c>
      <c r="R50" s="65"/>
      <c r="S50" s="65"/>
      <c r="T50" s="142">
        <f t="shared" si="0"/>
        <v>50028.83</v>
      </c>
      <c r="U50" s="65"/>
      <c r="V50" s="67"/>
      <c r="W50" s="69"/>
      <c r="X50" s="70"/>
      <c r="Y50" s="71"/>
    </row>
    <row r="51" spans="1:25" ht="38.25" customHeight="1" x14ac:dyDescent="0.2">
      <c r="A51" s="66" t="s">
        <v>579</v>
      </c>
      <c r="B51" s="66" t="s">
        <v>352</v>
      </c>
      <c r="C51" s="67">
        <v>2021</v>
      </c>
      <c r="D51" s="67">
        <v>2021</v>
      </c>
      <c r="E51" s="67" t="s">
        <v>363</v>
      </c>
      <c r="F51" s="67" t="s">
        <v>363</v>
      </c>
      <c r="G51" s="67" t="s">
        <v>363</v>
      </c>
      <c r="H51" s="67" t="s">
        <v>363</v>
      </c>
      <c r="I51" s="67" t="s">
        <v>355</v>
      </c>
      <c r="J51" s="68" t="s">
        <v>406</v>
      </c>
      <c r="K51" s="67" t="s">
        <v>447</v>
      </c>
      <c r="L51" s="68" t="s">
        <v>448</v>
      </c>
      <c r="M51" s="68">
        <v>2</v>
      </c>
      <c r="N51" s="67"/>
      <c r="O51" s="68"/>
      <c r="P51" s="68"/>
      <c r="Q51" s="65">
        <f>'SP SERVIZI 22-23 '!G193</f>
        <v>8361.65</v>
      </c>
      <c r="R51" s="65"/>
      <c r="S51" s="65"/>
      <c r="T51" s="142">
        <f t="shared" si="0"/>
        <v>8361.65</v>
      </c>
      <c r="U51" s="65">
        <v>0</v>
      </c>
      <c r="V51" s="67">
        <v>0</v>
      </c>
      <c r="W51" s="69" t="s">
        <v>359</v>
      </c>
      <c r="X51" s="70" t="s">
        <v>360</v>
      </c>
      <c r="Y51" s="71"/>
    </row>
    <row r="52" spans="1:25" ht="38.25" customHeight="1" x14ac:dyDescent="0.2">
      <c r="A52" s="66"/>
      <c r="B52" s="66"/>
      <c r="C52" s="67"/>
      <c r="D52" s="67"/>
      <c r="E52" s="67"/>
      <c r="F52" s="67"/>
      <c r="G52" s="67"/>
      <c r="H52" s="67"/>
      <c r="I52" s="67"/>
      <c r="J52" s="68"/>
      <c r="K52" s="67"/>
      <c r="L52" s="68" t="s">
        <v>1036</v>
      </c>
      <c r="M52" s="68"/>
      <c r="N52" s="67"/>
      <c r="O52" s="68"/>
      <c r="P52" s="68"/>
      <c r="Q52" s="142">
        <f>'SP SERVIZI 22-23 '!G194</f>
        <v>10000</v>
      </c>
      <c r="R52" s="142"/>
      <c r="S52" s="142"/>
      <c r="T52" s="142">
        <f t="shared" si="0"/>
        <v>10000</v>
      </c>
      <c r="U52" s="142"/>
      <c r="V52" s="67"/>
      <c r="W52" s="69"/>
      <c r="X52" s="70"/>
      <c r="Y52" s="71"/>
    </row>
    <row r="53" spans="1:25" ht="57.75" customHeight="1" x14ac:dyDescent="0.2">
      <c r="A53" s="66"/>
      <c r="B53" s="66"/>
      <c r="C53" s="67"/>
      <c r="D53" s="67"/>
      <c r="E53" s="67"/>
      <c r="F53" s="67"/>
      <c r="G53" s="67"/>
      <c r="H53" s="67"/>
      <c r="I53" s="67"/>
      <c r="J53" s="68"/>
      <c r="K53" s="67"/>
      <c r="L53" s="68" t="s">
        <v>1037</v>
      </c>
      <c r="M53" s="68"/>
      <c r="N53" s="67"/>
      <c r="O53" s="68"/>
      <c r="P53" s="68"/>
      <c r="Q53" s="142">
        <f>'SP SERVIZI 22-23 '!G195</f>
        <v>15000</v>
      </c>
      <c r="R53" s="142"/>
      <c r="S53" s="142"/>
      <c r="T53" s="142">
        <f t="shared" si="0"/>
        <v>15000</v>
      </c>
      <c r="U53" s="142"/>
      <c r="V53" s="67"/>
      <c r="W53" s="69"/>
      <c r="X53" s="70"/>
      <c r="Y53" s="71"/>
    </row>
    <row r="54" spans="1:25" ht="38.25" customHeight="1" x14ac:dyDescent="0.2">
      <c r="A54" s="66" t="s">
        <v>455</v>
      </c>
      <c r="B54" s="66" t="s">
        <v>352</v>
      </c>
      <c r="C54" s="67">
        <v>2021</v>
      </c>
      <c r="D54" s="67">
        <v>2021</v>
      </c>
      <c r="E54" s="67" t="s">
        <v>363</v>
      </c>
      <c r="F54" s="67"/>
      <c r="G54" s="67"/>
      <c r="H54" s="67"/>
      <c r="I54" s="67"/>
      <c r="J54" s="68"/>
      <c r="K54" s="67" t="s">
        <v>583</v>
      </c>
      <c r="L54" s="68" t="s">
        <v>512</v>
      </c>
      <c r="M54" s="68">
        <v>1</v>
      </c>
      <c r="N54" s="67"/>
      <c r="O54" s="68"/>
      <c r="P54" s="68"/>
      <c r="Q54" s="65">
        <f>'SP SERVIZI 22-23 '!G196</f>
        <v>154.91</v>
      </c>
      <c r="R54" s="65"/>
      <c r="S54" s="65"/>
      <c r="T54" s="142">
        <f t="shared" si="0"/>
        <v>154.91</v>
      </c>
      <c r="U54" s="65"/>
      <c r="V54" s="67"/>
      <c r="W54" s="69"/>
      <c r="X54" s="70"/>
      <c r="Y54" s="71"/>
    </row>
    <row r="55" spans="1:25" ht="38.25" customHeight="1" x14ac:dyDescent="0.2">
      <c r="A55" s="66" t="s">
        <v>580</v>
      </c>
      <c r="B55" s="66" t="s">
        <v>352</v>
      </c>
      <c r="C55" s="67">
        <v>2021</v>
      </c>
      <c r="D55" s="67">
        <v>2021</v>
      </c>
      <c r="E55" s="67" t="s">
        <v>363</v>
      </c>
      <c r="F55" s="67"/>
      <c r="G55" s="67"/>
      <c r="H55" s="67"/>
      <c r="I55" s="67"/>
      <c r="J55" s="68"/>
      <c r="K55" s="67" t="s">
        <v>584</v>
      </c>
      <c r="L55" s="68" t="s">
        <v>513</v>
      </c>
      <c r="M55" s="68">
        <v>1</v>
      </c>
      <c r="N55" s="67"/>
      <c r="O55" s="68"/>
      <c r="P55" s="68"/>
      <c r="Q55" s="65">
        <f>'SP SERVIZI 22-23 '!G197</f>
        <v>1207.25</v>
      </c>
      <c r="R55" s="65"/>
      <c r="S55" s="65"/>
      <c r="T55" s="142">
        <f t="shared" si="0"/>
        <v>1207.25</v>
      </c>
      <c r="U55" s="65"/>
      <c r="V55" s="67"/>
      <c r="W55" s="69"/>
      <c r="X55" s="70"/>
      <c r="Y55" s="71"/>
    </row>
    <row r="56" spans="1:25" ht="38.25" customHeight="1" x14ac:dyDescent="0.2">
      <c r="A56" s="66" t="s">
        <v>581</v>
      </c>
      <c r="B56" s="66" t="s">
        <v>352</v>
      </c>
      <c r="C56" s="67">
        <v>2021</v>
      </c>
      <c r="D56" s="67">
        <v>2021</v>
      </c>
      <c r="E56" s="67" t="s">
        <v>363</v>
      </c>
      <c r="F56" s="67"/>
      <c r="G56" s="67"/>
      <c r="H56" s="67"/>
      <c r="I56" s="67"/>
      <c r="J56" s="68"/>
      <c r="K56" s="67" t="s">
        <v>585</v>
      </c>
      <c r="L56" s="68" t="s">
        <v>514</v>
      </c>
      <c r="M56" s="68">
        <v>1</v>
      </c>
      <c r="N56" s="67"/>
      <c r="O56" s="68"/>
      <c r="P56" s="68"/>
      <c r="Q56" s="65">
        <f>'SP SERVIZI 22-23 '!G198</f>
        <v>2400</v>
      </c>
      <c r="R56" s="65"/>
      <c r="S56" s="65"/>
      <c r="T56" s="142">
        <f t="shared" si="0"/>
        <v>2400</v>
      </c>
      <c r="U56" s="65"/>
      <c r="V56" s="67"/>
      <c r="W56" s="69"/>
      <c r="X56" s="70"/>
      <c r="Y56" s="71"/>
    </row>
    <row r="57" spans="1:25" ht="48.75" customHeight="1" x14ac:dyDescent="0.2">
      <c r="A57" s="66"/>
      <c r="B57" s="66"/>
      <c r="C57" s="67"/>
      <c r="D57" s="67"/>
      <c r="E57" s="67"/>
      <c r="F57" s="67"/>
      <c r="G57" s="67"/>
      <c r="H57" s="67"/>
      <c r="I57" s="67"/>
      <c r="J57" s="68"/>
      <c r="K57" s="67"/>
      <c r="L57" s="68" t="s">
        <v>1038</v>
      </c>
      <c r="M57" s="68"/>
      <c r="N57" s="67"/>
      <c r="O57" s="68"/>
      <c r="P57" s="68"/>
      <c r="Q57" s="142">
        <f>'SP SERVIZI 22-23 '!M201</f>
        <v>8180.48</v>
      </c>
      <c r="R57" s="142"/>
      <c r="S57" s="142"/>
      <c r="T57" s="142">
        <f t="shared" si="0"/>
        <v>8180.48</v>
      </c>
      <c r="U57" s="142"/>
      <c r="V57" s="67"/>
      <c r="W57" s="69"/>
      <c r="X57" s="70"/>
      <c r="Y57" s="71"/>
    </row>
    <row r="58" spans="1:25" ht="48.75" customHeight="1" x14ac:dyDescent="0.2">
      <c r="A58" s="66"/>
      <c r="B58" s="66"/>
      <c r="C58" s="67"/>
      <c r="D58" s="67"/>
      <c r="E58" s="67"/>
      <c r="F58" s="67"/>
      <c r="G58" s="67"/>
      <c r="H58" s="67"/>
      <c r="I58" s="67"/>
      <c r="J58" s="68"/>
      <c r="K58" s="67"/>
      <c r="L58" s="68" t="s">
        <v>1039</v>
      </c>
      <c r="M58" s="68"/>
      <c r="N58" s="67"/>
      <c r="O58" s="68"/>
      <c r="P58" s="68"/>
      <c r="Q58" s="142">
        <f>'SP SERVIZI 22-23 '!G202</f>
        <v>10000</v>
      </c>
      <c r="R58" s="142"/>
      <c r="S58" s="142"/>
      <c r="T58" s="142">
        <f t="shared" si="0"/>
        <v>10000</v>
      </c>
      <c r="U58" s="142"/>
      <c r="V58" s="67"/>
      <c r="W58" s="69"/>
      <c r="X58" s="70"/>
      <c r="Y58" s="71"/>
    </row>
    <row r="59" spans="1:25" ht="38.25" customHeight="1" x14ac:dyDescent="0.2">
      <c r="A59" s="66" t="s">
        <v>582</v>
      </c>
      <c r="B59" s="66" t="s">
        <v>352</v>
      </c>
      <c r="C59" s="67">
        <v>2021</v>
      </c>
      <c r="D59" s="67">
        <v>2021</v>
      </c>
      <c r="E59" s="67" t="s">
        <v>363</v>
      </c>
      <c r="F59" s="67" t="s">
        <v>363</v>
      </c>
      <c r="G59" s="67" t="s">
        <v>363</v>
      </c>
      <c r="H59" s="67" t="s">
        <v>363</v>
      </c>
      <c r="I59" s="67" t="s">
        <v>355</v>
      </c>
      <c r="J59" s="68" t="s">
        <v>356</v>
      </c>
      <c r="K59" s="67" t="s">
        <v>450</v>
      </c>
      <c r="L59" s="68" t="s">
        <v>451</v>
      </c>
      <c r="M59" s="68">
        <v>2</v>
      </c>
      <c r="N59" s="67"/>
      <c r="O59" s="68"/>
      <c r="P59" s="68"/>
      <c r="Q59" s="65">
        <f>'SP SERVIZI 22-23 '!G204</f>
        <v>3047.49</v>
      </c>
      <c r="R59" s="65"/>
      <c r="S59" s="65"/>
      <c r="T59" s="142">
        <f t="shared" si="0"/>
        <v>3047.49</v>
      </c>
      <c r="U59" s="65">
        <v>0</v>
      </c>
      <c r="V59" s="67">
        <v>0</v>
      </c>
      <c r="W59" s="69" t="s">
        <v>359</v>
      </c>
      <c r="X59" s="70" t="s">
        <v>360</v>
      </c>
      <c r="Y59" s="71"/>
    </row>
    <row r="60" spans="1:25" ht="38.25" customHeight="1" x14ac:dyDescent="0.2">
      <c r="A60" s="66" t="s">
        <v>586</v>
      </c>
      <c r="B60" s="66" t="s">
        <v>352</v>
      </c>
      <c r="C60" s="67">
        <v>2021</v>
      </c>
      <c r="D60" s="67">
        <v>2021</v>
      </c>
      <c r="E60" s="67" t="s">
        <v>363</v>
      </c>
      <c r="F60" s="67" t="s">
        <v>363</v>
      </c>
      <c r="G60" s="67" t="s">
        <v>363</v>
      </c>
      <c r="H60" s="67" t="s">
        <v>363</v>
      </c>
      <c r="I60" s="67" t="s">
        <v>355</v>
      </c>
      <c r="J60" s="68" t="s">
        <v>406</v>
      </c>
      <c r="K60" s="67" t="s">
        <v>453</v>
      </c>
      <c r="L60" s="68" t="s">
        <v>454</v>
      </c>
      <c r="M60" s="68">
        <v>2</v>
      </c>
      <c r="N60" s="67"/>
      <c r="O60" s="68"/>
      <c r="P60" s="68"/>
      <c r="Q60" s="65">
        <f>'SP SERVIZI 22-23 '!G205</f>
        <v>1453</v>
      </c>
      <c r="R60" s="65"/>
      <c r="S60" s="65"/>
      <c r="T60" s="142">
        <f t="shared" si="0"/>
        <v>1453</v>
      </c>
      <c r="U60" s="65">
        <v>0</v>
      </c>
      <c r="V60" s="67">
        <v>0</v>
      </c>
      <c r="W60" s="69" t="s">
        <v>359</v>
      </c>
      <c r="X60" s="70" t="s">
        <v>360</v>
      </c>
      <c r="Y60" s="71"/>
    </row>
    <row r="61" spans="1:25" ht="38.25" customHeight="1" x14ac:dyDescent="0.2">
      <c r="A61" s="66" t="s">
        <v>587</v>
      </c>
      <c r="B61" s="66" t="s">
        <v>352</v>
      </c>
      <c r="C61" s="67">
        <v>2021</v>
      </c>
      <c r="D61" s="67">
        <v>2021</v>
      </c>
      <c r="E61" s="67" t="s">
        <v>363</v>
      </c>
      <c r="F61" s="67" t="s">
        <v>363</v>
      </c>
      <c r="G61" s="67" t="s">
        <v>363</v>
      </c>
      <c r="H61" s="67" t="s">
        <v>363</v>
      </c>
      <c r="I61" s="67" t="s">
        <v>355</v>
      </c>
      <c r="J61" s="68" t="s">
        <v>406</v>
      </c>
      <c r="K61" s="67" t="s">
        <v>456</v>
      </c>
      <c r="L61" s="68" t="s">
        <v>457</v>
      </c>
      <c r="M61" s="68">
        <v>3</v>
      </c>
      <c r="N61" s="67"/>
      <c r="O61" s="68"/>
      <c r="P61" s="68"/>
      <c r="Q61" s="65">
        <v>0</v>
      </c>
      <c r="R61" s="65"/>
      <c r="S61" s="65"/>
      <c r="T61" s="142">
        <f t="shared" si="0"/>
        <v>0</v>
      </c>
      <c r="U61" s="65">
        <v>0</v>
      </c>
      <c r="V61" s="67">
        <v>0</v>
      </c>
      <c r="W61" s="69" t="s">
        <v>359</v>
      </c>
      <c r="X61" s="70" t="s">
        <v>360</v>
      </c>
      <c r="Y61" s="71"/>
    </row>
    <row r="62" spans="1:25" ht="38.25" customHeight="1" x14ac:dyDescent="0.2">
      <c r="A62" s="66"/>
      <c r="B62" s="66"/>
      <c r="C62" s="67"/>
      <c r="D62" s="67"/>
      <c r="E62" s="67"/>
      <c r="F62" s="67"/>
      <c r="G62" s="67"/>
      <c r="H62" s="67"/>
      <c r="I62" s="67"/>
      <c r="J62" s="68"/>
      <c r="K62" s="67"/>
      <c r="L62" s="119"/>
      <c r="M62" s="68"/>
      <c r="N62" s="67"/>
      <c r="O62" s="68"/>
      <c r="P62" s="68"/>
      <c r="Q62" s="139"/>
      <c r="R62" s="139"/>
      <c r="S62" s="139"/>
      <c r="T62" s="142"/>
      <c r="U62" s="139"/>
      <c r="V62" s="67"/>
      <c r="W62" s="69"/>
      <c r="X62" s="70"/>
      <c r="Y62" s="71"/>
    </row>
    <row r="63" spans="1:25" ht="38.25" customHeight="1" x14ac:dyDescent="0.2">
      <c r="A63" s="66" t="s">
        <v>594</v>
      </c>
      <c r="B63" s="140" t="s">
        <v>352</v>
      </c>
      <c r="C63" s="67">
        <v>2022</v>
      </c>
      <c r="D63" s="67">
        <v>2022</v>
      </c>
      <c r="E63" s="67" t="s">
        <v>363</v>
      </c>
      <c r="F63" s="67" t="s">
        <v>353</v>
      </c>
      <c r="G63" s="67" t="s">
        <v>363</v>
      </c>
      <c r="H63" s="67" t="s">
        <v>363</v>
      </c>
      <c r="I63" s="67" t="s">
        <v>355</v>
      </c>
      <c r="J63" s="68" t="s">
        <v>364</v>
      </c>
      <c r="K63" s="67" t="s">
        <v>365</v>
      </c>
      <c r="L63" s="68" t="s">
        <v>366</v>
      </c>
      <c r="M63" s="68">
        <v>1</v>
      </c>
      <c r="N63" s="67"/>
      <c r="O63" s="68"/>
      <c r="P63" s="68"/>
      <c r="Q63" s="65"/>
      <c r="R63" s="65">
        <f>'SP SERVIZI 22-23 '!O78</f>
        <v>3443.46</v>
      </c>
      <c r="S63" s="65"/>
      <c r="T63" s="142">
        <f t="shared" si="0"/>
        <v>3443.46</v>
      </c>
      <c r="U63" s="65"/>
      <c r="V63" s="67"/>
      <c r="W63" s="69"/>
      <c r="X63" s="70"/>
      <c r="Y63" s="71"/>
    </row>
    <row r="64" spans="1:25" ht="38.25" customHeight="1" x14ac:dyDescent="0.2">
      <c r="A64" s="66" t="s">
        <v>595</v>
      </c>
      <c r="B64" s="140" t="s">
        <v>352</v>
      </c>
      <c r="C64" s="67">
        <v>2022</v>
      </c>
      <c r="D64" s="67">
        <v>2022</v>
      </c>
      <c r="E64" s="67" t="s">
        <v>363</v>
      </c>
      <c r="F64" s="67"/>
      <c r="G64" s="67"/>
      <c r="H64" s="67"/>
      <c r="I64" s="67"/>
      <c r="J64" s="68" t="s">
        <v>361</v>
      </c>
      <c r="K64" s="67" t="s">
        <v>596</v>
      </c>
      <c r="L64" s="68" t="s">
        <v>501</v>
      </c>
      <c r="M64" s="68">
        <v>1</v>
      </c>
      <c r="N64" s="67"/>
      <c r="O64" s="68"/>
      <c r="P64" s="68"/>
      <c r="Q64" s="65"/>
      <c r="R64" s="65">
        <f>'SP SERVIZI 22-23 '!O79</f>
        <v>6882.84</v>
      </c>
      <c r="S64" s="65"/>
      <c r="T64" s="142">
        <f t="shared" si="0"/>
        <v>6882.84</v>
      </c>
      <c r="U64" s="65"/>
      <c r="V64" s="67"/>
      <c r="W64" s="69"/>
      <c r="X64" s="70"/>
      <c r="Y64" s="71"/>
    </row>
    <row r="65" spans="1:25" ht="38.25" customHeight="1" x14ac:dyDescent="0.2">
      <c r="A65" s="66" t="s">
        <v>598</v>
      </c>
      <c r="B65" s="66" t="s">
        <v>352</v>
      </c>
      <c r="C65" s="67">
        <v>2022</v>
      </c>
      <c r="D65" s="67">
        <v>2022</v>
      </c>
      <c r="E65" s="67" t="s">
        <v>363</v>
      </c>
      <c r="F65" s="67" t="s">
        <v>353</v>
      </c>
      <c r="G65" s="67" t="s">
        <v>363</v>
      </c>
      <c r="H65" s="67" t="s">
        <v>363</v>
      </c>
      <c r="I65" s="67" t="s">
        <v>355</v>
      </c>
      <c r="J65" s="68" t="s">
        <v>364</v>
      </c>
      <c r="K65" s="67" t="s">
        <v>373</v>
      </c>
      <c r="L65" s="68" t="s">
        <v>374</v>
      </c>
      <c r="M65" s="68">
        <v>1</v>
      </c>
      <c r="N65" s="67"/>
      <c r="O65" s="68"/>
      <c r="P65" s="68"/>
      <c r="Q65" s="65"/>
      <c r="R65" s="65">
        <f>'SP SERVIZI 22-23 '!O80</f>
        <v>1081.93</v>
      </c>
      <c r="S65" s="65"/>
      <c r="T65" s="142">
        <f t="shared" si="0"/>
        <v>1081.93</v>
      </c>
      <c r="U65" s="65"/>
      <c r="V65" s="67"/>
      <c r="W65" s="69"/>
      <c r="X65" s="70"/>
      <c r="Y65" s="71"/>
    </row>
    <row r="66" spans="1:25" ht="38.25" customHeight="1" x14ac:dyDescent="0.2">
      <c r="A66" s="66" t="s">
        <v>599</v>
      </c>
      <c r="B66" s="66" t="s">
        <v>352</v>
      </c>
      <c r="C66" s="67">
        <v>2022</v>
      </c>
      <c r="D66" s="67">
        <v>2022</v>
      </c>
      <c r="E66" s="67" t="s">
        <v>363</v>
      </c>
      <c r="F66" s="67" t="s">
        <v>354</v>
      </c>
      <c r="G66" s="67" t="s">
        <v>353</v>
      </c>
      <c r="H66" s="67" t="s">
        <v>354</v>
      </c>
      <c r="I66" s="67" t="s">
        <v>355</v>
      </c>
      <c r="J66" s="68" t="s">
        <v>356</v>
      </c>
      <c r="K66" s="67" t="s">
        <v>357</v>
      </c>
      <c r="L66" s="68" t="s">
        <v>358</v>
      </c>
      <c r="M66" s="68">
        <v>1</v>
      </c>
      <c r="N66" s="67"/>
      <c r="O66" s="68"/>
      <c r="P66" s="68"/>
      <c r="Q66" s="65"/>
      <c r="R66" s="65">
        <f>'SP SERVIZI 22-23 '!O81</f>
        <v>7512</v>
      </c>
      <c r="S66" s="65"/>
      <c r="T66" s="142">
        <f t="shared" si="0"/>
        <v>7512</v>
      </c>
      <c r="U66" s="65"/>
      <c r="V66" s="67"/>
      <c r="W66" s="69"/>
      <c r="X66" s="70"/>
      <c r="Y66" s="71"/>
    </row>
    <row r="67" spans="1:25" ht="38.25" customHeight="1" x14ac:dyDescent="0.25">
      <c r="A67" s="66" t="s">
        <v>600</v>
      </c>
      <c r="B67" s="140" t="s">
        <v>352</v>
      </c>
      <c r="C67" s="67">
        <v>2022</v>
      </c>
      <c r="D67" s="67">
        <v>2022</v>
      </c>
      <c r="E67" s="67" t="s">
        <v>363</v>
      </c>
      <c r="F67" s="76"/>
      <c r="G67" s="76"/>
      <c r="H67" s="76"/>
      <c r="I67" s="76"/>
      <c r="J67" s="77" t="s">
        <v>361</v>
      </c>
      <c r="K67" t="s">
        <v>597</v>
      </c>
      <c r="L67" s="77" t="s">
        <v>500</v>
      </c>
      <c r="M67" s="77">
        <v>1</v>
      </c>
      <c r="N67" s="76"/>
      <c r="O67" s="77"/>
      <c r="P67" s="77"/>
      <c r="Q67" s="78"/>
      <c r="R67" s="65">
        <f>'SP SERVIZI 22-23 '!O82</f>
        <v>2030.02</v>
      </c>
      <c r="S67" s="78"/>
      <c r="T67" s="142">
        <f t="shared" si="0"/>
        <v>2030.02</v>
      </c>
      <c r="U67" s="65"/>
      <c r="V67" s="67"/>
      <c r="W67" s="69"/>
      <c r="X67" s="70"/>
      <c r="Y67" s="71"/>
    </row>
    <row r="68" spans="1:25" ht="38.25" customHeight="1" x14ac:dyDescent="0.2">
      <c r="A68" s="66" t="s">
        <v>603</v>
      </c>
      <c r="B68" s="66" t="s">
        <v>352</v>
      </c>
      <c r="C68" s="67">
        <v>2022</v>
      </c>
      <c r="D68" s="67">
        <v>2022</v>
      </c>
      <c r="E68" s="67" t="s">
        <v>363</v>
      </c>
      <c r="F68" s="67" t="s">
        <v>353</v>
      </c>
      <c r="G68" s="67" t="s">
        <v>363</v>
      </c>
      <c r="H68" s="67" t="s">
        <v>363</v>
      </c>
      <c r="I68" s="67" t="s">
        <v>355</v>
      </c>
      <c r="J68" s="68" t="s">
        <v>364</v>
      </c>
      <c r="K68" s="67" t="s">
        <v>368</v>
      </c>
      <c r="L68" s="68" t="s">
        <v>369</v>
      </c>
      <c r="M68" s="68">
        <v>1</v>
      </c>
      <c r="N68" s="67"/>
      <c r="O68" s="68"/>
      <c r="P68" s="68"/>
      <c r="Q68" s="65"/>
      <c r="R68" s="65">
        <f>'SP SERVIZI 22-23 '!O83</f>
        <v>3638.85</v>
      </c>
      <c r="S68" s="65"/>
      <c r="T68" s="142">
        <f t="shared" si="0"/>
        <v>3638.85</v>
      </c>
      <c r="U68" s="65"/>
      <c r="V68" s="67"/>
      <c r="W68" s="69"/>
      <c r="X68" s="70"/>
      <c r="Y68" s="71"/>
    </row>
    <row r="69" spans="1:25" ht="38.25" customHeight="1" x14ac:dyDescent="0.2">
      <c r="A69" s="66" t="s">
        <v>604</v>
      </c>
      <c r="B69" s="66" t="s">
        <v>352</v>
      </c>
      <c r="C69" s="67">
        <v>2022</v>
      </c>
      <c r="D69" s="67">
        <v>2022</v>
      </c>
      <c r="E69" s="67" t="s">
        <v>363</v>
      </c>
      <c r="F69" s="67" t="s">
        <v>363</v>
      </c>
      <c r="G69" s="67" t="s">
        <v>363</v>
      </c>
      <c r="H69" s="67" t="s">
        <v>363</v>
      </c>
      <c r="I69" s="67" t="s">
        <v>355</v>
      </c>
      <c r="J69" s="68" t="s">
        <v>399</v>
      </c>
      <c r="K69" s="67" t="s">
        <v>400</v>
      </c>
      <c r="L69" s="68" t="s">
        <v>401</v>
      </c>
      <c r="M69" s="68">
        <v>1</v>
      </c>
      <c r="N69" s="67"/>
      <c r="O69" s="68"/>
      <c r="P69" s="68"/>
      <c r="Q69" s="65"/>
      <c r="R69" s="65">
        <f>'SP SERVIZI 22-23 '!O85</f>
        <v>328543.58</v>
      </c>
      <c r="S69" s="65"/>
      <c r="T69" s="142">
        <f t="shared" si="0"/>
        <v>328543.58</v>
      </c>
      <c r="U69" s="65"/>
      <c r="V69" s="67"/>
      <c r="W69" s="69"/>
      <c r="X69" s="70"/>
      <c r="Y69" s="71"/>
    </row>
    <row r="70" spans="1:25" ht="38.25" customHeight="1" x14ac:dyDescent="0.2">
      <c r="A70" s="66" t="s">
        <v>605</v>
      </c>
      <c r="B70" s="66" t="s">
        <v>352</v>
      </c>
      <c r="C70" s="67">
        <v>2022</v>
      </c>
      <c r="D70" s="67">
        <v>2022</v>
      </c>
      <c r="E70" s="67" t="s">
        <v>363</v>
      </c>
      <c r="F70" s="67" t="s">
        <v>363</v>
      </c>
      <c r="G70" s="67" t="s">
        <v>363</v>
      </c>
      <c r="H70" s="67" t="s">
        <v>363</v>
      </c>
      <c r="I70" s="67" t="s">
        <v>355</v>
      </c>
      <c r="J70" s="68" t="s">
        <v>406</v>
      </c>
      <c r="K70" s="67" t="s">
        <v>422</v>
      </c>
      <c r="L70" s="68" t="s">
        <v>502</v>
      </c>
      <c r="M70" s="68">
        <v>1</v>
      </c>
      <c r="N70" s="67"/>
      <c r="O70" s="68"/>
      <c r="P70" s="68"/>
      <c r="Q70" s="65"/>
      <c r="R70" s="65">
        <f>'SP SERVIZI 22-23 '!P87</f>
        <v>24044.79</v>
      </c>
      <c r="S70" s="65"/>
      <c r="T70" s="142">
        <f t="shared" si="0"/>
        <v>24044.79</v>
      </c>
      <c r="U70" s="65"/>
      <c r="V70" s="67"/>
      <c r="W70" s="69"/>
      <c r="X70" s="70"/>
      <c r="Y70" s="71"/>
    </row>
    <row r="71" spans="1:25" ht="38.25" customHeight="1" x14ac:dyDescent="0.2">
      <c r="A71" s="66" t="s">
        <v>606</v>
      </c>
      <c r="B71" s="66" t="s">
        <v>352</v>
      </c>
      <c r="C71" s="67">
        <v>2022</v>
      </c>
      <c r="D71" s="67">
        <v>2022</v>
      </c>
      <c r="E71" s="67" t="s">
        <v>363</v>
      </c>
      <c r="F71" s="67" t="s">
        <v>363</v>
      </c>
      <c r="G71" s="67" t="s">
        <v>363</v>
      </c>
      <c r="H71" s="67" t="s">
        <v>363</v>
      </c>
      <c r="I71" s="67" t="s">
        <v>355</v>
      </c>
      <c r="J71" s="68" t="s">
        <v>399</v>
      </c>
      <c r="K71" s="67" t="s">
        <v>403</v>
      </c>
      <c r="L71" s="68" t="s">
        <v>404</v>
      </c>
      <c r="M71" s="68">
        <v>1</v>
      </c>
      <c r="N71" s="67"/>
      <c r="O71" s="68"/>
      <c r="P71" s="68"/>
      <c r="Q71" s="65"/>
      <c r="R71" s="65">
        <f>'SP SERVIZI 22-23 '!O89</f>
        <v>9278.51</v>
      </c>
      <c r="S71" s="65"/>
      <c r="T71" s="142">
        <f t="shared" si="0"/>
        <v>9278.51</v>
      </c>
      <c r="U71" s="65"/>
      <c r="V71" s="67"/>
      <c r="W71" s="69"/>
      <c r="X71" s="70"/>
      <c r="Y71" s="71"/>
    </row>
    <row r="72" spans="1:25" ht="38.25" customHeight="1" x14ac:dyDescent="0.2">
      <c r="A72" s="66" t="s">
        <v>607</v>
      </c>
      <c r="B72" s="66" t="s">
        <v>352</v>
      </c>
      <c r="C72" s="67">
        <v>2022</v>
      </c>
      <c r="D72" s="67">
        <v>2022</v>
      </c>
      <c r="E72" s="67" t="s">
        <v>363</v>
      </c>
      <c r="F72" s="67" t="s">
        <v>363</v>
      </c>
      <c r="G72" s="67" t="s">
        <v>363</v>
      </c>
      <c r="H72" s="67" t="s">
        <v>363</v>
      </c>
      <c r="I72" s="67" t="s">
        <v>355</v>
      </c>
      <c r="J72" s="68" t="s">
        <v>356</v>
      </c>
      <c r="K72" s="67" t="s">
        <v>392</v>
      </c>
      <c r="L72" s="68" t="s">
        <v>393</v>
      </c>
      <c r="M72" s="68">
        <v>1</v>
      </c>
      <c r="N72" s="67"/>
      <c r="O72" s="68"/>
      <c r="P72" s="68"/>
      <c r="Q72" s="65"/>
      <c r="R72" s="65">
        <f>'SP SERVIZI 22-23 '!O90</f>
        <v>23464.16</v>
      </c>
      <c r="S72" s="65"/>
      <c r="T72" s="142">
        <f t="shared" si="0"/>
        <v>23464.16</v>
      </c>
      <c r="U72" s="65"/>
      <c r="V72" s="67"/>
      <c r="W72" s="74"/>
      <c r="X72" s="70"/>
      <c r="Y72" s="71"/>
    </row>
    <row r="73" spans="1:25" ht="38.25" customHeight="1" x14ac:dyDescent="0.2">
      <c r="A73" s="66" t="s">
        <v>608</v>
      </c>
      <c r="B73" s="66" t="s">
        <v>352</v>
      </c>
      <c r="C73" s="67">
        <v>2022</v>
      </c>
      <c r="D73" s="67">
        <v>2022</v>
      </c>
      <c r="E73" s="67" t="s">
        <v>363</v>
      </c>
      <c r="F73" s="67"/>
      <c r="G73" s="67"/>
      <c r="H73" s="67"/>
      <c r="I73" s="67"/>
      <c r="J73" s="68"/>
      <c r="K73" s="67" t="s">
        <v>380</v>
      </c>
      <c r="L73" s="68" t="s">
        <v>503</v>
      </c>
      <c r="M73" s="68">
        <v>1</v>
      </c>
      <c r="N73" s="67"/>
      <c r="O73" s="68"/>
      <c r="P73" s="68"/>
      <c r="Q73" s="65"/>
      <c r="R73" s="65">
        <f>'SP SERVIZI 22-23 '!P98</f>
        <v>534020.05000000005</v>
      </c>
      <c r="S73" s="65"/>
      <c r="T73" s="142">
        <f t="shared" si="0"/>
        <v>534020.05000000005</v>
      </c>
      <c r="U73" s="65"/>
      <c r="V73" s="67"/>
      <c r="W73" s="69"/>
      <c r="X73" s="70"/>
      <c r="Y73" s="71"/>
    </row>
    <row r="74" spans="1:25" ht="38.25" customHeight="1" x14ac:dyDescent="0.2">
      <c r="A74" s="66" t="s">
        <v>609</v>
      </c>
      <c r="B74" s="66" t="s">
        <v>352</v>
      </c>
      <c r="C74" s="67">
        <v>2022</v>
      </c>
      <c r="D74" s="67">
        <v>2022</v>
      </c>
      <c r="E74" s="67" t="s">
        <v>363</v>
      </c>
      <c r="F74" s="67" t="s">
        <v>363</v>
      </c>
      <c r="G74" s="67" t="s">
        <v>363</v>
      </c>
      <c r="H74" s="67" t="s">
        <v>363</v>
      </c>
      <c r="I74" s="67" t="s">
        <v>355</v>
      </c>
      <c r="J74" s="68" t="s">
        <v>406</v>
      </c>
      <c r="K74" s="67" t="s">
        <v>444</v>
      </c>
      <c r="L74" s="68" t="s">
        <v>445</v>
      </c>
      <c r="M74" s="68">
        <v>2</v>
      </c>
      <c r="N74" s="67"/>
      <c r="O74" s="68"/>
      <c r="P74" s="68"/>
      <c r="Q74" s="65"/>
      <c r="R74" s="65">
        <f>'SP SERVIZI 22-23 '!P105</f>
        <v>54256.529999999992</v>
      </c>
      <c r="S74" s="65"/>
      <c r="T74" s="142">
        <f t="shared" si="0"/>
        <v>54256.529999999992</v>
      </c>
      <c r="U74" s="65"/>
      <c r="V74" s="67"/>
      <c r="W74" s="69"/>
      <c r="X74" s="70"/>
      <c r="Y74" s="71"/>
    </row>
    <row r="75" spans="1:25" ht="38.25" customHeight="1" x14ac:dyDescent="0.2">
      <c r="A75" s="66" t="s">
        <v>610</v>
      </c>
      <c r="B75" s="66" t="s">
        <v>352</v>
      </c>
      <c r="C75" s="67">
        <v>2022</v>
      </c>
      <c r="D75" s="67">
        <v>2022</v>
      </c>
      <c r="E75" s="67" t="s">
        <v>363</v>
      </c>
      <c r="F75" s="67" t="s">
        <v>353</v>
      </c>
      <c r="G75" s="67" t="s">
        <v>363</v>
      </c>
      <c r="H75" s="67" t="s">
        <v>363</v>
      </c>
      <c r="I75" s="67" t="s">
        <v>355</v>
      </c>
      <c r="J75" s="68" t="s">
        <v>376</v>
      </c>
      <c r="K75" s="67" t="s">
        <v>377</v>
      </c>
      <c r="L75" s="68" t="s">
        <v>504</v>
      </c>
      <c r="M75" s="68">
        <v>1</v>
      </c>
      <c r="N75" s="67"/>
      <c r="O75" s="68"/>
      <c r="P75" s="68"/>
      <c r="Q75" s="65"/>
      <c r="R75" s="65">
        <f>'SP SERVIZI 22-23 '!P119</f>
        <v>399661.38999999996</v>
      </c>
      <c r="S75" s="65"/>
      <c r="T75" s="142">
        <f t="shared" ref="T75:T114" si="1">SUM(Q75:S75)</f>
        <v>399661.38999999996</v>
      </c>
      <c r="U75" s="65"/>
      <c r="V75" s="67"/>
      <c r="W75" s="69"/>
      <c r="X75" s="70"/>
      <c r="Y75" s="71"/>
    </row>
    <row r="76" spans="1:25" ht="38.25" customHeight="1" x14ac:dyDescent="0.2">
      <c r="A76" s="66" t="s">
        <v>611</v>
      </c>
      <c r="B76" s="66" t="s">
        <v>352</v>
      </c>
      <c r="C76" s="67">
        <v>2022</v>
      </c>
      <c r="D76" s="67">
        <v>2022</v>
      </c>
      <c r="E76" s="67" t="s">
        <v>363</v>
      </c>
      <c r="F76" s="67"/>
      <c r="G76" s="67"/>
      <c r="H76" s="67"/>
      <c r="I76" s="67"/>
      <c r="J76" s="68"/>
      <c r="K76" s="67" t="s">
        <v>377</v>
      </c>
      <c r="L76" s="68" t="s">
        <v>505</v>
      </c>
      <c r="M76" s="68">
        <v>1</v>
      </c>
      <c r="N76" s="67"/>
      <c r="O76" s="68"/>
      <c r="P76" s="68"/>
      <c r="Q76" s="65"/>
      <c r="R76" s="65">
        <f>'SP SERVIZI 22-23 '!P126</f>
        <v>41759</v>
      </c>
      <c r="S76" s="65"/>
      <c r="T76" s="142">
        <f t="shared" si="1"/>
        <v>41759</v>
      </c>
      <c r="U76" s="65"/>
      <c r="V76" s="67"/>
      <c r="W76" s="69"/>
      <c r="X76" s="70"/>
      <c r="Y76" s="71"/>
    </row>
    <row r="77" spans="1:25" ht="38.25" customHeight="1" x14ac:dyDescent="0.2">
      <c r="A77" s="66" t="s">
        <v>612</v>
      </c>
      <c r="B77" s="66" t="s">
        <v>352</v>
      </c>
      <c r="C77" s="67">
        <v>2022</v>
      </c>
      <c r="D77" s="67">
        <v>2022</v>
      </c>
      <c r="E77" s="67" t="s">
        <v>363</v>
      </c>
      <c r="F77" s="67" t="s">
        <v>363</v>
      </c>
      <c r="G77" s="67" t="s">
        <v>363</v>
      </c>
      <c r="H77" s="67" t="s">
        <v>363</v>
      </c>
      <c r="I77" s="67" t="s">
        <v>355</v>
      </c>
      <c r="J77" s="68" t="s">
        <v>376</v>
      </c>
      <c r="K77" s="67" t="s">
        <v>385</v>
      </c>
      <c r="L77" s="68" t="s">
        <v>386</v>
      </c>
      <c r="M77" s="68">
        <v>1</v>
      </c>
      <c r="N77" s="67"/>
      <c r="O77" s="68"/>
      <c r="P77" s="68"/>
      <c r="Q77" s="65"/>
      <c r="R77" s="65">
        <f>'SP SERVIZI 22-23 '!P154</f>
        <v>123790.54</v>
      </c>
      <c r="S77" s="65"/>
      <c r="T77" s="142">
        <f t="shared" si="1"/>
        <v>123790.54</v>
      </c>
      <c r="U77" s="65"/>
      <c r="V77" s="67"/>
      <c r="W77" s="69"/>
      <c r="X77" s="70"/>
      <c r="Y77" s="71"/>
    </row>
    <row r="78" spans="1:25" ht="38.25" customHeight="1" x14ac:dyDescent="0.2">
      <c r="A78" s="66" t="s">
        <v>613</v>
      </c>
      <c r="B78" s="66" t="s">
        <v>352</v>
      </c>
      <c r="C78" s="67">
        <v>2022</v>
      </c>
      <c r="D78" s="67">
        <v>2022</v>
      </c>
      <c r="E78" s="67" t="s">
        <v>363</v>
      </c>
      <c r="F78" s="67" t="s">
        <v>363</v>
      </c>
      <c r="G78" s="67" t="s">
        <v>363</v>
      </c>
      <c r="H78" s="67" t="s">
        <v>363</v>
      </c>
      <c r="I78" s="67" t="s">
        <v>355</v>
      </c>
      <c r="J78" s="68" t="s">
        <v>376</v>
      </c>
      <c r="K78" s="67" t="s">
        <v>382</v>
      </c>
      <c r="L78" s="68" t="s">
        <v>383</v>
      </c>
      <c r="M78" s="68">
        <v>1</v>
      </c>
      <c r="N78" s="67"/>
      <c r="O78" s="68"/>
      <c r="P78" s="68"/>
      <c r="Q78" s="65"/>
      <c r="R78" s="65">
        <f>'SP SERVIZI 22-23 '!O155</f>
        <v>25000</v>
      </c>
      <c r="S78" s="65"/>
      <c r="T78" s="142">
        <f t="shared" si="1"/>
        <v>25000</v>
      </c>
      <c r="U78" s="65"/>
      <c r="V78" s="67"/>
      <c r="W78" s="69"/>
      <c r="X78" s="70"/>
      <c r="Y78" s="71"/>
    </row>
    <row r="79" spans="1:25" ht="38.25" customHeight="1" x14ac:dyDescent="0.2">
      <c r="A79" s="66" t="s">
        <v>614</v>
      </c>
      <c r="B79" s="66" t="s">
        <v>352</v>
      </c>
      <c r="C79" s="67">
        <v>2022</v>
      </c>
      <c r="D79" s="67">
        <v>2022</v>
      </c>
      <c r="E79" s="67" t="s">
        <v>363</v>
      </c>
      <c r="F79" s="67" t="s">
        <v>363</v>
      </c>
      <c r="G79" s="67" t="s">
        <v>363</v>
      </c>
      <c r="H79" s="67" t="s">
        <v>363</v>
      </c>
      <c r="I79" s="67" t="s">
        <v>355</v>
      </c>
      <c r="J79" s="68" t="s">
        <v>406</v>
      </c>
      <c r="K79" s="67" t="s">
        <v>413</v>
      </c>
      <c r="L79" s="68" t="s">
        <v>414</v>
      </c>
      <c r="M79" s="68">
        <v>1</v>
      </c>
      <c r="N79" s="67"/>
      <c r="O79" s="68"/>
      <c r="P79" s="68"/>
      <c r="Q79" s="65"/>
      <c r="R79" s="65">
        <f>'SP SERVIZI 22-23 '!O156</f>
        <v>71316</v>
      </c>
      <c r="S79" s="65"/>
      <c r="T79" s="142">
        <f t="shared" si="1"/>
        <v>71316</v>
      </c>
      <c r="U79" s="65"/>
      <c r="V79" s="67"/>
      <c r="W79" s="69"/>
      <c r="X79" s="70"/>
      <c r="Y79" s="71"/>
    </row>
    <row r="80" spans="1:25" ht="38.25" customHeight="1" x14ac:dyDescent="0.2">
      <c r="A80" s="66" t="s">
        <v>615</v>
      </c>
      <c r="B80" s="66" t="s">
        <v>352</v>
      </c>
      <c r="C80" s="67">
        <v>2022</v>
      </c>
      <c r="D80" s="67">
        <v>2022</v>
      </c>
      <c r="E80" s="67" t="s">
        <v>363</v>
      </c>
      <c r="F80" s="67" t="s">
        <v>363</v>
      </c>
      <c r="G80" s="67" t="s">
        <v>363</v>
      </c>
      <c r="H80" s="67" t="s">
        <v>363</v>
      </c>
      <c r="I80" s="67" t="s">
        <v>355</v>
      </c>
      <c r="J80" s="68" t="s">
        <v>406</v>
      </c>
      <c r="K80" s="67" t="s">
        <v>428</v>
      </c>
      <c r="L80" s="68" t="s">
        <v>429</v>
      </c>
      <c r="M80" s="68">
        <v>1</v>
      </c>
      <c r="N80" s="67"/>
      <c r="O80" s="68"/>
      <c r="P80" s="68"/>
      <c r="Q80" s="65"/>
      <c r="R80" s="65">
        <f>'SP SERVIZI 22-23 '!O157</f>
        <v>960</v>
      </c>
      <c r="S80" s="65"/>
      <c r="T80" s="142">
        <f t="shared" si="1"/>
        <v>960</v>
      </c>
      <c r="U80" s="65"/>
      <c r="V80" s="67"/>
      <c r="W80" s="69"/>
      <c r="X80" s="70"/>
      <c r="Y80" s="71"/>
    </row>
    <row r="81" spans="1:25" ht="38.25" customHeight="1" x14ac:dyDescent="0.2">
      <c r="A81" s="66" t="s">
        <v>616</v>
      </c>
      <c r="B81" s="66" t="s">
        <v>352</v>
      </c>
      <c r="C81" s="67">
        <v>2022</v>
      </c>
      <c r="D81" s="67">
        <v>2022</v>
      </c>
      <c r="E81" s="67" t="s">
        <v>363</v>
      </c>
      <c r="F81" s="67" t="s">
        <v>363</v>
      </c>
      <c r="G81" s="67" t="s">
        <v>363</v>
      </c>
      <c r="H81" s="67" t="s">
        <v>363</v>
      </c>
      <c r="I81" s="67" t="s">
        <v>355</v>
      </c>
      <c r="J81" s="68" t="s">
        <v>406</v>
      </c>
      <c r="K81" s="67" t="s">
        <v>419</v>
      </c>
      <c r="L81" s="68" t="s">
        <v>420</v>
      </c>
      <c r="M81" s="68">
        <v>1</v>
      </c>
      <c r="N81" s="67"/>
      <c r="O81" s="68"/>
      <c r="P81" s="68"/>
      <c r="Q81" s="65"/>
      <c r="R81" s="65">
        <f>'SP SERVIZI 22-23 '!O158</f>
        <v>79.849999999999994</v>
      </c>
      <c r="S81" s="65"/>
      <c r="T81" s="142">
        <f t="shared" si="1"/>
        <v>79.849999999999994</v>
      </c>
      <c r="U81" s="65"/>
      <c r="V81" s="67"/>
      <c r="W81" s="69"/>
      <c r="X81" s="70"/>
      <c r="Y81" s="71"/>
    </row>
    <row r="82" spans="1:25" ht="38.25" customHeight="1" x14ac:dyDescent="0.2">
      <c r="A82" s="66" t="s">
        <v>617</v>
      </c>
      <c r="B82" s="66" t="s">
        <v>352</v>
      </c>
      <c r="C82" s="67">
        <v>2022</v>
      </c>
      <c r="D82" s="67">
        <v>2022</v>
      </c>
      <c r="E82" s="67" t="s">
        <v>363</v>
      </c>
      <c r="F82" s="67" t="s">
        <v>363</v>
      </c>
      <c r="G82" s="67" t="s">
        <v>363</v>
      </c>
      <c r="H82" s="67" t="s">
        <v>363</v>
      </c>
      <c r="I82" s="67" t="s">
        <v>355</v>
      </c>
      <c r="J82" s="68" t="s">
        <v>406</v>
      </c>
      <c r="K82" s="67" t="s">
        <v>438</v>
      </c>
      <c r="L82" s="68" t="s">
        <v>439</v>
      </c>
      <c r="M82" s="68">
        <v>1</v>
      </c>
      <c r="N82" s="67"/>
      <c r="O82" s="68"/>
      <c r="P82" s="68"/>
      <c r="Q82" s="65"/>
      <c r="R82" s="65">
        <f>'SP SERVIZI 22-23 '!O159</f>
        <v>0</v>
      </c>
      <c r="S82" s="65"/>
      <c r="T82" s="142">
        <f t="shared" si="1"/>
        <v>0</v>
      </c>
      <c r="U82" s="65"/>
      <c r="V82" s="67"/>
      <c r="W82" s="69"/>
      <c r="X82" s="70"/>
      <c r="Y82" s="71"/>
    </row>
    <row r="83" spans="1:25" ht="38.25" customHeight="1" x14ac:dyDescent="0.2">
      <c r="A83" s="66" t="s">
        <v>618</v>
      </c>
      <c r="B83" s="66" t="s">
        <v>352</v>
      </c>
      <c r="C83" s="67">
        <v>2022</v>
      </c>
      <c r="D83" s="67">
        <v>2022</v>
      </c>
      <c r="E83" s="67" t="s">
        <v>363</v>
      </c>
      <c r="F83" s="67" t="s">
        <v>363</v>
      </c>
      <c r="G83" s="67" t="s">
        <v>353</v>
      </c>
      <c r="H83" s="67" t="s">
        <v>363</v>
      </c>
      <c r="I83" s="67" t="s">
        <v>355</v>
      </c>
      <c r="J83" s="68" t="s">
        <v>376</v>
      </c>
      <c r="K83" s="67" t="s">
        <v>379</v>
      </c>
      <c r="L83" s="68" t="s">
        <v>321</v>
      </c>
      <c r="M83" s="68">
        <v>1</v>
      </c>
      <c r="N83" s="67"/>
      <c r="O83" s="68"/>
      <c r="P83" s="68"/>
      <c r="Q83" s="65"/>
      <c r="R83" s="65">
        <f>'SP SERVIZI 22-23 '!O160</f>
        <v>0</v>
      </c>
      <c r="S83" s="65"/>
      <c r="T83" s="142">
        <f t="shared" si="1"/>
        <v>0</v>
      </c>
      <c r="U83" s="65"/>
      <c r="V83" s="67"/>
      <c r="W83" s="69"/>
      <c r="X83" s="70"/>
      <c r="Y83" s="71"/>
    </row>
    <row r="84" spans="1:25" ht="38.25" customHeight="1" x14ac:dyDescent="0.25">
      <c r="A84" s="66" t="s">
        <v>619</v>
      </c>
      <c r="B84" s="66" t="s">
        <v>352</v>
      </c>
      <c r="C84" s="67">
        <v>2022</v>
      </c>
      <c r="D84" s="67">
        <v>2022</v>
      </c>
      <c r="E84" s="67" t="s">
        <v>363</v>
      </c>
      <c r="F84" s="67"/>
      <c r="G84" s="67"/>
      <c r="H84" s="67"/>
      <c r="I84" s="67"/>
      <c r="J84" s="68"/>
      <c r="K84" t="s">
        <v>601</v>
      </c>
      <c r="L84" s="68" t="s">
        <v>322</v>
      </c>
      <c r="M84" s="68">
        <v>1</v>
      </c>
      <c r="N84" s="67"/>
      <c r="O84" s="68"/>
      <c r="P84" s="68"/>
      <c r="Q84" s="65"/>
      <c r="R84" s="65">
        <f>'SP SERVIZI 22-23 '!O161</f>
        <v>2000</v>
      </c>
      <c r="S84" s="65"/>
      <c r="T84" s="142">
        <f t="shared" si="1"/>
        <v>2000</v>
      </c>
      <c r="U84" s="65"/>
      <c r="V84" s="67"/>
      <c r="W84" s="74"/>
      <c r="X84" s="70"/>
      <c r="Y84" s="71"/>
    </row>
    <row r="85" spans="1:25" ht="38.25" customHeight="1" x14ac:dyDescent="0.2">
      <c r="A85" s="66" t="s">
        <v>620</v>
      </c>
      <c r="B85" s="66" t="s">
        <v>352</v>
      </c>
      <c r="C85" s="67">
        <v>2022</v>
      </c>
      <c r="D85" s="67">
        <v>2022</v>
      </c>
      <c r="E85" s="67" t="s">
        <v>363</v>
      </c>
      <c r="F85" s="67" t="s">
        <v>363</v>
      </c>
      <c r="G85" s="67" t="s">
        <v>363</v>
      </c>
      <c r="H85" s="67" t="s">
        <v>363</v>
      </c>
      <c r="I85" s="67" t="s">
        <v>355</v>
      </c>
      <c r="J85" s="68" t="s">
        <v>406</v>
      </c>
      <c r="K85" s="67" t="s">
        <v>434</v>
      </c>
      <c r="L85" s="68" t="s">
        <v>507</v>
      </c>
      <c r="M85" s="68">
        <v>1</v>
      </c>
      <c r="N85" s="67"/>
      <c r="O85" s="68"/>
      <c r="P85" s="68"/>
      <c r="Q85" s="65"/>
      <c r="R85" s="65">
        <f>'SP SERVIZI 22-23 '!O162</f>
        <v>7094.05</v>
      </c>
      <c r="S85" s="65"/>
      <c r="T85" s="142">
        <f t="shared" si="1"/>
        <v>7094.05</v>
      </c>
      <c r="U85" s="65"/>
      <c r="V85" s="67"/>
      <c r="W85" s="69"/>
      <c r="X85" s="70"/>
      <c r="Y85" s="71"/>
    </row>
    <row r="86" spans="1:25" ht="38.25" customHeight="1" x14ac:dyDescent="0.25">
      <c r="A86" s="66" t="s">
        <v>621</v>
      </c>
      <c r="B86" s="66" t="s">
        <v>352</v>
      </c>
      <c r="C86" s="67">
        <v>2022</v>
      </c>
      <c r="D86" s="67">
        <v>2022</v>
      </c>
      <c r="E86" s="67" t="s">
        <v>363</v>
      </c>
      <c r="F86" s="67"/>
      <c r="G86" s="67"/>
      <c r="H86" s="67"/>
      <c r="I86" s="67"/>
      <c r="J86" s="68"/>
      <c r="K86" t="s">
        <v>602</v>
      </c>
      <c r="L86" s="68" t="s">
        <v>508</v>
      </c>
      <c r="M86" s="68">
        <v>1</v>
      </c>
      <c r="N86" s="67"/>
      <c r="O86" s="68"/>
      <c r="P86" s="68"/>
      <c r="Q86" s="65"/>
      <c r="R86" s="65">
        <f>'SP SERVIZI 22-23 '!O163</f>
        <v>9920</v>
      </c>
      <c r="S86" s="65"/>
      <c r="T86" s="142">
        <f t="shared" si="1"/>
        <v>9920</v>
      </c>
      <c r="U86" s="65"/>
      <c r="V86" s="67"/>
      <c r="W86" s="69"/>
      <c r="X86" s="70"/>
      <c r="Y86" s="71"/>
    </row>
    <row r="87" spans="1:25" ht="38.25" customHeight="1" x14ac:dyDescent="0.25">
      <c r="A87" s="66" t="s">
        <v>622</v>
      </c>
      <c r="B87" s="66" t="s">
        <v>352</v>
      </c>
      <c r="C87" s="67">
        <v>2022</v>
      </c>
      <c r="D87" s="67">
        <v>2022</v>
      </c>
      <c r="E87" s="67" t="s">
        <v>363</v>
      </c>
      <c r="F87" s="67"/>
      <c r="G87" s="67"/>
      <c r="H87" s="67"/>
      <c r="I87" s="67"/>
      <c r="J87" s="68"/>
      <c r="K87" t="s">
        <v>602</v>
      </c>
      <c r="L87" s="68" t="s">
        <v>509</v>
      </c>
      <c r="M87" s="68">
        <v>1</v>
      </c>
      <c r="N87" s="67"/>
      <c r="O87" s="68"/>
      <c r="P87" s="68"/>
      <c r="Q87" s="65"/>
      <c r="R87" s="65">
        <f>'SP SERVIZI 22-23 '!O164</f>
        <v>5200</v>
      </c>
      <c r="S87" s="65"/>
      <c r="T87" s="142">
        <f t="shared" si="1"/>
        <v>5200</v>
      </c>
      <c r="U87" s="65"/>
      <c r="V87" s="67"/>
      <c r="W87" s="69"/>
      <c r="X87" s="70"/>
      <c r="Y87" s="71"/>
    </row>
    <row r="88" spans="1:25" ht="38.25" customHeight="1" x14ac:dyDescent="0.25">
      <c r="A88" s="66" t="s">
        <v>623</v>
      </c>
      <c r="B88" s="66" t="s">
        <v>352</v>
      </c>
      <c r="C88" s="67">
        <v>2022</v>
      </c>
      <c r="D88" s="67">
        <v>2022</v>
      </c>
      <c r="E88" s="67" t="s">
        <v>363</v>
      </c>
      <c r="F88" s="67"/>
      <c r="G88" s="67"/>
      <c r="H88" s="67"/>
      <c r="I88" s="67"/>
      <c r="J88" s="68"/>
      <c r="K88" t="s">
        <v>602</v>
      </c>
      <c r="L88" s="68" t="s">
        <v>323</v>
      </c>
      <c r="M88" s="68">
        <v>1</v>
      </c>
      <c r="N88" s="67"/>
      <c r="O88" s="68"/>
      <c r="P88" s="68"/>
      <c r="Q88" s="65"/>
      <c r="R88" s="65">
        <f>'SP SERVIZI 22-23 '!O165</f>
        <v>0</v>
      </c>
      <c r="S88" s="65"/>
      <c r="T88" s="142">
        <f t="shared" si="1"/>
        <v>0</v>
      </c>
      <c r="U88" s="65"/>
      <c r="V88" s="67"/>
      <c r="W88" s="69"/>
      <c r="X88" s="70"/>
      <c r="Y88" s="71"/>
    </row>
    <row r="89" spans="1:25" ht="38.25" customHeight="1" x14ac:dyDescent="0.2">
      <c r="A89" s="66" t="s">
        <v>624</v>
      </c>
      <c r="B89" s="66" t="s">
        <v>352</v>
      </c>
      <c r="C89" s="67">
        <v>2022</v>
      </c>
      <c r="D89" s="67">
        <v>2022</v>
      </c>
      <c r="E89" s="67" t="s">
        <v>363</v>
      </c>
      <c r="F89" s="67" t="s">
        <v>363</v>
      </c>
      <c r="G89" s="67" t="s">
        <v>363</v>
      </c>
      <c r="H89" s="67" t="s">
        <v>363</v>
      </c>
      <c r="I89" s="67" t="s">
        <v>355</v>
      </c>
      <c r="J89" s="68" t="s">
        <v>406</v>
      </c>
      <c r="K89" s="67" t="s">
        <v>431</v>
      </c>
      <c r="L89" s="68" t="s">
        <v>432</v>
      </c>
      <c r="M89" s="68">
        <v>1</v>
      </c>
      <c r="N89" s="67"/>
      <c r="O89" s="68"/>
      <c r="P89" s="68"/>
      <c r="Q89" s="65"/>
      <c r="R89" s="65">
        <f>'SP SERVIZI 22-23 '!O166</f>
        <v>3380</v>
      </c>
      <c r="S89" s="65"/>
      <c r="T89" s="142">
        <f t="shared" si="1"/>
        <v>3380</v>
      </c>
      <c r="U89" s="65"/>
      <c r="V89" s="67"/>
      <c r="W89" s="69"/>
      <c r="X89" s="70"/>
      <c r="Y89" s="71"/>
    </row>
    <row r="90" spans="1:25" ht="38.25" customHeight="1" x14ac:dyDescent="0.25">
      <c r="A90" s="66" t="s">
        <v>625</v>
      </c>
      <c r="B90" s="66" t="s">
        <v>352</v>
      </c>
      <c r="C90" s="67">
        <v>2022</v>
      </c>
      <c r="D90" s="67">
        <v>2022</v>
      </c>
      <c r="E90" s="67" t="s">
        <v>363</v>
      </c>
      <c r="F90" s="67"/>
      <c r="G90" s="67"/>
      <c r="H90" s="67"/>
      <c r="I90" s="67"/>
      <c r="J90" s="68"/>
      <c r="K90" s="141">
        <v>85141000</v>
      </c>
      <c r="L90" s="68" t="s">
        <v>511</v>
      </c>
      <c r="M90" s="68">
        <v>1</v>
      </c>
      <c r="N90" s="67"/>
      <c r="O90" s="68"/>
      <c r="P90" s="68"/>
      <c r="Q90" s="65"/>
      <c r="R90" s="65">
        <f>'SP SERVIZI 22-23 '!O167</f>
        <v>1050.94</v>
      </c>
      <c r="S90" s="65"/>
      <c r="T90" s="142">
        <f t="shared" si="1"/>
        <v>1050.94</v>
      </c>
      <c r="U90" s="65"/>
      <c r="V90" s="67"/>
      <c r="W90" s="69"/>
      <c r="X90" s="70"/>
      <c r="Y90" s="71"/>
    </row>
    <row r="91" spans="1:25" ht="38.25" customHeight="1" x14ac:dyDescent="0.2">
      <c r="A91" s="66" t="s">
        <v>626</v>
      </c>
      <c r="B91" s="66" t="s">
        <v>352</v>
      </c>
      <c r="C91" s="67">
        <v>2022</v>
      </c>
      <c r="D91" s="67">
        <v>2022</v>
      </c>
      <c r="E91" s="67" t="s">
        <v>363</v>
      </c>
      <c r="F91" s="67" t="s">
        <v>363</v>
      </c>
      <c r="G91" s="67" t="s">
        <v>363</v>
      </c>
      <c r="H91" s="67" t="s">
        <v>363</v>
      </c>
      <c r="I91" s="67" t="s">
        <v>355</v>
      </c>
      <c r="J91" s="68" t="s">
        <v>406</v>
      </c>
      <c r="K91" s="67" t="s">
        <v>407</v>
      </c>
      <c r="L91" s="68" t="s">
        <v>408</v>
      </c>
      <c r="M91" s="68">
        <v>1</v>
      </c>
      <c r="N91" s="67"/>
      <c r="O91" s="68"/>
      <c r="P91" s="68"/>
      <c r="Q91" s="65"/>
      <c r="R91" s="65">
        <f>'SP SERVIZI 22-23 '!P170</f>
        <v>5723.96</v>
      </c>
      <c r="S91" s="65"/>
      <c r="T91" s="142">
        <f t="shared" si="1"/>
        <v>5723.96</v>
      </c>
      <c r="U91" s="65"/>
      <c r="V91" s="67"/>
      <c r="W91" s="69"/>
      <c r="X91" s="70"/>
      <c r="Y91" s="71"/>
    </row>
    <row r="92" spans="1:25" ht="38.25" customHeight="1" x14ac:dyDescent="0.2">
      <c r="A92" s="66" t="s">
        <v>627</v>
      </c>
      <c r="B92" s="66" t="s">
        <v>352</v>
      </c>
      <c r="C92" s="67">
        <v>2022</v>
      </c>
      <c r="D92" s="67">
        <v>2022</v>
      </c>
      <c r="E92" s="67" t="s">
        <v>363</v>
      </c>
      <c r="F92" s="67" t="s">
        <v>363</v>
      </c>
      <c r="G92" s="67" t="s">
        <v>363</v>
      </c>
      <c r="H92" s="67" t="s">
        <v>363</v>
      </c>
      <c r="I92" s="67" t="s">
        <v>355</v>
      </c>
      <c r="J92" s="68" t="s">
        <v>399</v>
      </c>
      <c r="K92" s="67" t="s">
        <v>441</v>
      </c>
      <c r="L92" s="68" t="s">
        <v>442</v>
      </c>
      <c r="M92" s="68">
        <v>2</v>
      </c>
      <c r="N92" s="67"/>
      <c r="O92" s="68"/>
      <c r="P92" s="68"/>
      <c r="Q92" s="65"/>
      <c r="R92" s="65">
        <f>'SP SERVIZI 22-23 '!O172</f>
        <v>50000</v>
      </c>
      <c r="S92" s="65"/>
      <c r="T92" s="142">
        <f t="shared" si="1"/>
        <v>50000</v>
      </c>
      <c r="U92" s="65"/>
      <c r="V92" s="67"/>
      <c r="W92" s="69"/>
      <c r="X92" s="70"/>
      <c r="Y92" s="71"/>
    </row>
    <row r="93" spans="1:25" ht="38.25" customHeight="1" x14ac:dyDescent="0.2">
      <c r="A93" s="66" t="s">
        <v>628</v>
      </c>
      <c r="B93" s="66" t="s">
        <v>352</v>
      </c>
      <c r="C93" s="67">
        <v>2022</v>
      </c>
      <c r="D93" s="67">
        <v>2022</v>
      </c>
      <c r="E93" s="67" t="s">
        <v>363</v>
      </c>
      <c r="F93" s="67" t="s">
        <v>363</v>
      </c>
      <c r="G93" s="67" t="s">
        <v>363</v>
      </c>
      <c r="H93" s="67" t="s">
        <v>363</v>
      </c>
      <c r="I93" s="67" t="s">
        <v>355</v>
      </c>
      <c r="J93" s="68" t="s">
        <v>406</v>
      </c>
      <c r="K93" s="67" t="s">
        <v>410</v>
      </c>
      <c r="L93" s="68" t="s">
        <v>411</v>
      </c>
      <c r="M93" s="68">
        <v>1</v>
      </c>
      <c r="N93" s="67"/>
      <c r="O93" s="68"/>
      <c r="P93" s="68"/>
      <c r="Q93" s="65"/>
      <c r="R93" s="65">
        <f>'SP SERVIZI 22-23 '!O173</f>
        <v>698.36</v>
      </c>
      <c r="S93" s="65"/>
      <c r="T93" s="142">
        <f t="shared" si="1"/>
        <v>698.36</v>
      </c>
      <c r="U93" s="65"/>
      <c r="V93" s="67"/>
      <c r="W93" s="69"/>
      <c r="X93" s="70"/>
      <c r="Y93" s="71"/>
    </row>
    <row r="94" spans="1:25" ht="38.25" customHeight="1" x14ac:dyDescent="0.2">
      <c r="A94" s="66" t="s">
        <v>629</v>
      </c>
      <c r="B94" s="66" t="s">
        <v>352</v>
      </c>
      <c r="C94" s="67">
        <v>2022</v>
      </c>
      <c r="D94" s="67">
        <v>2022</v>
      </c>
      <c r="E94" s="67" t="s">
        <v>363</v>
      </c>
      <c r="F94" s="67" t="s">
        <v>363</v>
      </c>
      <c r="G94" s="67" t="s">
        <v>363</v>
      </c>
      <c r="H94" s="67" t="s">
        <v>363</v>
      </c>
      <c r="I94" s="67" t="s">
        <v>355</v>
      </c>
      <c r="J94" s="68" t="s">
        <v>376</v>
      </c>
      <c r="K94" s="67" t="s">
        <v>389</v>
      </c>
      <c r="L94" s="68" t="s">
        <v>390</v>
      </c>
      <c r="M94" s="68">
        <v>1</v>
      </c>
      <c r="N94" s="67"/>
      <c r="O94" s="68"/>
      <c r="P94" s="68"/>
      <c r="Q94" s="65"/>
      <c r="R94" s="65">
        <f>'SP SERVIZI 22-23 '!O174</f>
        <v>0</v>
      </c>
      <c r="S94" s="65"/>
      <c r="T94" s="142">
        <f t="shared" si="1"/>
        <v>0</v>
      </c>
      <c r="U94" s="65"/>
      <c r="V94" s="67"/>
      <c r="W94" s="69"/>
      <c r="X94" s="70"/>
      <c r="Y94" s="71"/>
    </row>
    <row r="95" spans="1:25" ht="38.25" customHeight="1" x14ac:dyDescent="0.2">
      <c r="A95" s="66" t="s">
        <v>630</v>
      </c>
      <c r="B95" s="66" t="s">
        <v>352</v>
      </c>
      <c r="C95" s="67">
        <v>2022</v>
      </c>
      <c r="D95" s="67">
        <v>2022</v>
      </c>
      <c r="E95" s="67" t="s">
        <v>363</v>
      </c>
      <c r="F95" s="67" t="s">
        <v>363</v>
      </c>
      <c r="G95" s="67" t="s">
        <v>363</v>
      </c>
      <c r="H95" s="67" t="s">
        <v>363</v>
      </c>
      <c r="I95" s="67" t="s">
        <v>355</v>
      </c>
      <c r="J95" s="68" t="s">
        <v>406</v>
      </c>
      <c r="K95" s="67" t="s">
        <v>416</v>
      </c>
      <c r="L95" s="68" t="s">
        <v>436</v>
      </c>
      <c r="M95" s="68">
        <v>1</v>
      </c>
      <c r="N95" s="67"/>
      <c r="O95" s="68"/>
      <c r="P95" s="68"/>
      <c r="Q95" s="65"/>
      <c r="R95" s="65">
        <f>'SP SERVIZI 22-23 '!O175</f>
        <v>1000</v>
      </c>
      <c r="S95" s="65"/>
      <c r="T95" s="142">
        <f t="shared" si="1"/>
        <v>1000</v>
      </c>
      <c r="U95" s="65"/>
      <c r="V95" s="67"/>
      <c r="W95" s="69"/>
      <c r="X95" s="70"/>
      <c r="Y95" s="71"/>
    </row>
    <row r="96" spans="1:25" ht="38.25" customHeight="1" x14ac:dyDescent="0.25">
      <c r="A96" s="66" t="s">
        <v>631</v>
      </c>
      <c r="B96" s="66" t="s">
        <v>352</v>
      </c>
      <c r="C96" s="67">
        <v>2022</v>
      </c>
      <c r="D96" s="67">
        <v>2022</v>
      </c>
      <c r="E96" s="67" t="s">
        <v>363</v>
      </c>
      <c r="F96" s="67"/>
      <c r="G96" s="67"/>
      <c r="H96" s="67"/>
      <c r="I96" s="67"/>
      <c r="J96" s="68"/>
      <c r="K96" t="s">
        <v>646</v>
      </c>
      <c r="L96" s="68" t="s">
        <v>510</v>
      </c>
      <c r="M96" s="68">
        <v>1</v>
      </c>
      <c r="N96" s="67"/>
      <c r="O96" s="68"/>
      <c r="P96" s="68"/>
      <c r="Q96" s="65"/>
      <c r="R96" s="65">
        <f>'SP SERVIZI 22-23 '!O176</f>
        <v>9476.5600000000013</v>
      </c>
      <c r="S96" s="65"/>
      <c r="T96" s="142">
        <f t="shared" si="1"/>
        <v>9476.5600000000013</v>
      </c>
      <c r="U96" s="65"/>
      <c r="V96" s="67"/>
      <c r="W96" s="69"/>
      <c r="X96" s="70"/>
      <c r="Y96" s="71"/>
    </row>
    <row r="97" spans="1:25" ht="38.25" customHeight="1" x14ac:dyDescent="0.25">
      <c r="A97" s="66" t="s">
        <v>632</v>
      </c>
      <c r="B97" s="66" t="s">
        <v>352</v>
      </c>
      <c r="C97" s="67">
        <v>2022</v>
      </c>
      <c r="D97" s="67">
        <v>2022</v>
      </c>
      <c r="E97" s="67" t="s">
        <v>363</v>
      </c>
      <c r="F97" s="67"/>
      <c r="G97" s="67"/>
      <c r="H97" s="67"/>
      <c r="I97" s="67"/>
      <c r="J97" s="68"/>
      <c r="K97" s="141">
        <v>79417000</v>
      </c>
      <c r="L97" s="68" t="s">
        <v>324</v>
      </c>
      <c r="M97" s="68">
        <v>1</v>
      </c>
      <c r="N97" s="67"/>
      <c r="O97" s="68"/>
      <c r="P97" s="68"/>
      <c r="Q97" s="65"/>
      <c r="R97" s="65">
        <f>'SP SERVIZI 22-23 '!O177</f>
        <v>1792</v>
      </c>
      <c r="S97" s="65"/>
      <c r="T97" s="142">
        <f t="shared" si="1"/>
        <v>1792</v>
      </c>
      <c r="U97" s="65"/>
      <c r="V97" s="67"/>
      <c r="W97" s="69"/>
      <c r="X97" s="70"/>
      <c r="Y97" s="71"/>
    </row>
    <row r="98" spans="1:25" ht="38.25" customHeight="1" x14ac:dyDescent="0.2">
      <c r="A98" s="66" t="s">
        <v>633</v>
      </c>
      <c r="B98" s="66" t="s">
        <v>352</v>
      </c>
      <c r="C98" s="67">
        <v>2022</v>
      </c>
      <c r="D98" s="67">
        <v>2022</v>
      </c>
      <c r="E98" s="67" t="s">
        <v>363</v>
      </c>
      <c r="F98" s="67" t="s">
        <v>363</v>
      </c>
      <c r="G98" s="67" t="s">
        <v>363</v>
      </c>
      <c r="H98" s="67" t="s">
        <v>363</v>
      </c>
      <c r="I98" s="67" t="s">
        <v>355</v>
      </c>
      <c r="J98" s="68" t="s">
        <v>376</v>
      </c>
      <c r="K98" s="67" t="s">
        <v>380</v>
      </c>
      <c r="L98" s="68" t="s">
        <v>506</v>
      </c>
      <c r="M98" s="68">
        <v>1</v>
      </c>
      <c r="N98" s="67"/>
      <c r="O98" s="68"/>
      <c r="P98" s="68"/>
      <c r="Q98" s="65"/>
      <c r="R98" s="65">
        <f>'SP SERVIZI 22-23 '!P186</f>
        <v>102253.82</v>
      </c>
      <c r="S98" s="65"/>
      <c r="T98" s="142">
        <f t="shared" si="1"/>
        <v>102253.82</v>
      </c>
      <c r="U98" s="65"/>
      <c r="V98" s="67"/>
      <c r="W98" s="69"/>
      <c r="X98" s="70"/>
      <c r="Y98" s="71"/>
    </row>
    <row r="99" spans="1:25" ht="38.25" customHeight="1" x14ac:dyDescent="0.2">
      <c r="A99" s="66" t="s">
        <v>634</v>
      </c>
      <c r="B99" s="66" t="s">
        <v>352</v>
      </c>
      <c r="C99" s="67">
        <v>2022</v>
      </c>
      <c r="D99" s="67">
        <v>2022</v>
      </c>
      <c r="E99" s="67" t="s">
        <v>363</v>
      </c>
      <c r="F99" s="67" t="s">
        <v>363</v>
      </c>
      <c r="G99" s="67" t="s">
        <v>363</v>
      </c>
      <c r="H99" s="67" t="s">
        <v>363</v>
      </c>
      <c r="I99" s="67" t="s">
        <v>355</v>
      </c>
      <c r="J99" s="68" t="s">
        <v>395</v>
      </c>
      <c r="K99" s="67" t="s">
        <v>396</v>
      </c>
      <c r="L99" s="68" t="s">
        <v>397</v>
      </c>
      <c r="M99" s="68">
        <v>1</v>
      </c>
      <c r="N99" s="67"/>
      <c r="O99" s="68"/>
      <c r="P99" s="68"/>
      <c r="Q99" s="65"/>
      <c r="R99" s="65">
        <v>0</v>
      </c>
      <c r="S99" s="65"/>
      <c r="T99" s="142">
        <f t="shared" si="1"/>
        <v>0</v>
      </c>
      <c r="U99" s="65"/>
      <c r="V99" s="67"/>
      <c r="W99" s="69"/>
      <c r="X99" s="70"/>
      <c r="Y99" s="71"/>
    </row>
    <row r="100" spans="1:25" ht="38.25" customHeight="1" x14ac:dyDescent="0.2">
      <c r="A100" s="66" t="s">
        <v>635</v>
      </c>
      <c r="B100" s="66" t="s">
        <v>352</v>
      </c>
      <c r="C100" s="67">
        <v>2022</v>
      </c>
      <c r="D100" s="67">
        <v>2022</v>
      </c>
      <c r="E100" s="67" t="s">
        <v>363</v>
      </c>
      <c r="F100" s="67" t="s">
        <v>363</v>
      </c>
      <c r="G100" s="67" t="s">
        <v>363</v>
      </c>
      <c r="H100" s="67" t="s">
        <v>363</v>
      </c>
      <c r="I100" s="67" t="s">
        <v>355</v>
      </c>
      <c r="J100" s="68" t="s">
        <v>406</v>
      </c>
      <c r="K100" s="67" t="s">
        <v>416</v>
      </c>
      <c r="L100" s="68" t="s">
        <v>417</v>
      </c>
      <c r="M100" s="68">
        <v>1</v>
      </c>
      <c r="N100" s="67"/>
      <c r="O100" s="68"/>
      <c r="P100" s="68"/>
      <c r="Q100" s="65"/>
      <c r="R100" s="65">
        <v>0</v>
      </c>
      <c r="S100" s="65"/>
      <c r="T100" s="142">
        <f t="shared" si="1"/>
        <v>0</v>
      </c>
      <c r="U100" s="65"/>
      <c r="V100" s="67"/>
      <c r="W100" s="69"/>
      <c r="X100" s="70"/>
      <c r="Y100" s="71"/>
    </row>
    <row r="101" spans="1:25" ht="38.25" customHeight="1" x14ac:dyDescent="0.2">
      <c r="A101" s="66" t="s">
        <v>636</v>
      </c>
      <c r="B101" s="66" t="s">
        <v>352</v>
      </c>
      <c r="C101" s="67">
        <v>2022</v>
      </c>
      <c r="D101" s="67">
        <v>2022</v>
      </c>
      <c r="E101" s="67" t="s">
        <v>363</v>
      </c>
      <c r="F101" s="67" t="s">
        <v>363</v>
      </c>
      <c r="G101" s="67" t="s">
        <v>363</v>
      </c>
      <c r="H101" s="67" t="s">
        <v>363</v>
      </c>
      <c r="I101" s="67" t="s">
        <v>355</v>
      </c>
      <c r="J101" s="68" t="s">
        <v>424</v>
      </c>
      <c r="K101" s="67" t="s">
        <v>425</v>
      </c>
      <c r="L101" s="68" t="s">
        <v>426</v>
      </c>
      <c r="M101" s="68">
        <v>1</v>
      </c>
      <c r="N101" s="67"/>
      <c r="O101" s="68"/>
      <c r="P101" s="68"/>
      <c r="Q101" s="65"/>
      <c r="R101" s="65">
        <v>0</v>
      </c>
      <c r="S101" s="65"/>
      <c r="T101" s="142">
        <f t="shared" si="1"/>
        <v>0</v>
      </c>
      <c r="U101" s="65"/>
      <c r="V101" s="67"/>
      <c r="W101" s="69"/>
      <c r="X101" s="70"/>
      <c r="Y101" s="71"/>
    </row>
    <row r="102" spans="1:25" ht="38.25" customHeight="1" x14ac:dyDescent="0.2">
      <c r="A102" s="66" t="s">
        <v>644</v>
      </c>
      <c r="B102" s="66" t="s">
        <v>352</v>
      </c>
      <c r="C102" s="67">
        <v>2022</v>
      </c>
      <c r="D102" s="67">
        <v>2022</v>
      </c>
      <c r="E102" s="67" t="s">
        <v>363</v>
      </c>
      <c r="F102" s="67"/>
      <c r="G102" s="67"/>
      <c r="H102" s="67"/>
      <c r="I102" s="67"/>
      <c r="J102" s="68"/>
      <c r="K102" s="67" t="s">
        <v>592</v>
      </c>
      <c r="L102" s="68" t="s">
        <v>528</v>
      </c>
      <c r="M102" s="68">
        <v>1</v>
      </c>
      <c r="N102" s="67"/>
      <c r="O102" s="68"/>
      <c r="P102" s="68"/>
      <c r="Q102" s="65"/>
      <c r="R102" s="65">
        <f>'SP SERVIZI 22-23 '!O188</f>
        <v>4292.8100000000004</v>
      </c>
      <c r="S102" s="65"/>
      <c r="T102" s="142">
        <f t="shared" si="1"/>
        <v>4292.8100000000004</v>
      </c>
      <c r="U102" s="65"/>
      <c r="V102" s="67"/>
      <c r="W102" s="69"/>
      <c r="X102" s="70"/>
      <c r="Y102" s="71"/>
    </row>
    <row r="103" spans="1:25" ht="38.25" customHeight="1" x14ac:dyDescent="0.25">
      <c r="A103" s="66" t="s">
        <v>645</v>
      </c>
      <c r="B103" s="66" t="s">
        <v>352</v>
      </c>
      <c r="C103" s="67">
        <v>2022</v>
      </c>
      <c r="D103" s="67">
        <v>2022</v>
      </c>
      <c r="E103" s="67" t="s">
        <v>363</v>
      </c>
      <c r="F103" s="67"/>
      <c r="G103" s="67"/>
      <c r="H103" s="67"/>
      <c r="I103" s="67"/>
      <c r="J103" s="68"/>
      <c r="K103" s="1" t="s">
        <v>593</v>
      </c>
      <c r="L103" s="68" t="s">
        <v>529</v>
      </c>
      <c r="M103" s="68">
        <v>1</v>
      </c>
      <c r="N103" s="67"/>
      <c r="O103" s="68"/>
      <c r="P103" s="68"/>
      <c r="Q103" s="65"/>
      <c r="R103" s="65">
        <f>'SP SERVIZI 22-23 '!P191</f>
        <v>50028.83</v>
      </c>
      <c r="S103" s="65"/>
      <c r="T103" s="142">
        <f t="shared" si="1"/>
        <v>50028.83</v>
      </c>
      <c r="U103" s="65"/>
      <c r="V103" s="67"/>
      <c r="W103" s="69"/>
      <c r="X103" s="79"/>
      <c r="Y103" s="80"/>
    </row>
    <row r="104" spans="1:25" ht="38.25" customHeight="1" x14ac:dyDescent="0.2">
      <c r="A104" s="66" t="s">
        <v>637</v>
      </c>
      <c r="B104" s="66" t="s">
        <v>352</v>
      </c>
      <c r="C104" s="67">
        <v>2022</v>
      </c>
      <c r="D104" s="67">
        <v>2022</v>
      </c>
      <c r="E104" s="67" t="s">
        <v>363</v>
      </c>
      <c r="F104" s="67" t="s">
        <v>363</v>
      </c>
      <c r="G104" s="67" t="s">
        <v>363</v>
      </c>
      <c r="H104" s="67" t="s">
        <v>363</v>
      </c>
      <c r="I104" s="67" t="s">
        <v>355</v>
      </c>
      <c r="J104" s="68" t="s">
        <v>406</v>
      </c>
      <c r="K104" s="67" t="s">
        <v>447</v>
      </c>
      <c r="L104" s="68" t="s">
        <v>448</v>
      </c>
      <c r="M104" s="68">
        <v>2</v>
      </c>
      <c r="N104" s="67"/>
      <c r="O104" s="68"/>
      <c r="P104" s="68"/>
      <c r="Q104" s="65"/>
      <c r="R104" s="65">
        <f>'SP SERVIZI 22-23 '!O193</f>
        <v>8361.65</v>
      </c>
      <c r="S104" s="65"/>
      <c r="T104" s="142">
        <f t="shared" si="1"/>
        <v>8361.65</v>
      </c>
      <c r="U104" s="65"/>
      <c r="V104" s="67"/>
      <c r="W104" s="69"/>
      <c r="X104" s="70"/>
      <c r="Y104" s="71"/>
    </row>
    <row r="105" spans="1:25" ht="38.25" customHeight="1" x14ac:dyDescent="0.2">
      <c r="A105" s="66"/>
      <c r="B105" s="66"/>
      <c r="C105" s="67"/>
      <c r="D105" s="67"/>
      <c r="E105" s="67"/>
      <c r="F105" s="67"/>
      <c r="G105" s="67"/>
      <c r="H105" s="67"/>
      <c r="I105" s="67"/>
      <c r="J105" s="68"/>
      <c r="K105" s="83"/>
      <c r="L105" s="68" t="s">
        <v>1036</v>
      </c>
      <c r="M105" s="68"/>
      <c r="N105" s="67"/>
      <c r="O105" s="68"/>
      <c r="P105" s="68"/>
      <c r="Q105" s="142"/>
      <c r="R105" s="142">
        <f>'SP SERVIZI 22-23 '!O194</f>
        <v>10000</v>
      </c>
      <c r="S105" s="142"/>
      <c r="T105" s="142">
        <f t="shared" si="1"/>
        <v>10000</v>
      </c>
      <c r="U105" s="142"/>
      <c r="V105" s="67"/>
      <c r="W105" s="69"/>
      <c r="X105" s="70"/>
      <c r="Y105" s="71"/>
    </row>
    <row r="106" spans="1:25" ht="55.5" customHeight="1" x14ac:dyDescent="0.2">
      <c r="A106" s="66"/>
      <c r="B106" s="66"/>
      <c r="C106" s="67"/>
      <c r="D106" s="67"/>
      <c r="E106" s="67"/>
      <c r="F106" s="67"/>
      <c r="G106" s="67"/>
      <c r="H106" s="67"/>
      <c r="I106" s="67"/>
      <c r="J106" s="68"/>
      <c r="K106" s="83"/>
      <c r="L106" s="68" t="s">
        <v>1037</v>
      </c>
      <c r="M106" s="68"/>
      <c r="N106" s="67"/>
      <c r="O106" s="68"/>
      <c r="P106" s="68"/>
      <c r="Q106" s="142"/>
      <c r="R106" s="142">
        <f>'SP SERVIZI 22-23 '!O195</f>
        <v>0</v>
      </c>
      <c r="S106" s="142"/>
      <c r="T106" s="142">
        <f t="shared" si="1"/>
        <v>0</v>
      </c>
      <c r="U106" s="142"/>
      <c r="V106" s="67"/>
      <c r="W106" s="69"/>
      <c r="X106" s="70"/>
      <c r="Y106" s="71"/>
    </row>
    <row r="107" spans="1:25" ht="38.25" customHeight="1" x14ac:dyDescent="0.25">
      <c r="A107" s="66" t="s">
        <v>638</v>
      </c>
      <c r="B107" s="66" t="s">
        <v>352</v>
      </c>
      <c r="C107" s="67">
        <v>2022</v>
      </c>
      <c r="D107" s="67">
        <v>2022</v>
      </c>
      <c r="E107" s="67" t="s">
        <v>363</v>
      </c>
      <c r="F107" s="67"/>
      <c r="G107" s="67"/>
      <c r="H107" s="67"/>
      <c r="I107" s="67"/>
      <c r="J107" s="68"/>
      <c r="K107" s="141" t="s">
        <v>647</v>
      </c>
      <c r="L107" s="68" t="s">
        <v>512</v>
      </c>
      <c r="M107" s="68">
        <v>1</v>
      </c>
      <c r="N107" s="67"/>
      <c r="O107" s="68"/>
      <c r="P107" s="68"/>
      <c r="Q107" s="65"/>
      <c r="R107" s="65">
        <f>'SP SERVIZI 22-23 '!O196</f>
        <v>154.91</v>
      </c>
      <c r="S107" s="65"/>
      <c r="T107" s="142">
        <f t="shared" si="1"/>
        <v>154.91</v>
      </c>
      <c r="U107" s="65"/>
      <c r="V107" s="67"/>
      <c r="W107" s="69"/>
      <c r="X107" s="70"/>
      <c r="Y107" s="71"/>
    </row>
    <row r="108" spans="1:25" ht="38.25" customHeight="1" x14ac:dyDescent="0.25">
      <c r="A108" s="66" t="s">
        <v>639</v>
      </c>
      <c r="B108" s="66" t="s">
        <v>352</v>
      </c>
      <c r="C108" s="67">
        <v>2022</v>
      </c>
      <c r="D108" s="67">
        <v>2022</v>
      </c>
      <c r="E108" s="67" t="s">
        <v>363</v>
      </c>
      <c r="F108" s="67"/>
      <c r="G108" s="67"/>
      <c r="H108" s="67"/>
      <c r="I108" s="67"/>
      <c r="J108" s="68"/>
      <c r="K108" s="141" t="s">
        <v>647</v>
      </c>
      <c r="L108" s="68" t="s">
        <v>513</v>
      </c>
      <c r="M108" s="68">
        <v>1</v>
      </c>
      <c r="N108" s="67"/>
      <c r="O108" s="68"/>
      <c r="P108" s="68"/>
      <c r="Q108" s="65"/>
      <c r="R108" s="65">
        <f>'SP SERVIZI 22-23 '!O197</f>
        <v>1207.25</v>
      </c>
      <c r="S108" s="65"/>
      <c r="T108" s="142">
        <f t="shared" si="1"/>
        <v>1207.25</v>
      </c>
      <c r="U108" s="65"/>
      <c r="V108" s="67"/>
      <c r="W108" s="69"/>
      <c r="X108" s="70"/>
      <c r="Y108" s="71"/>
    </row>
    <row r="109" spans="1:25" ht="38.25" customHeight="1" x14ac:dyDescent="0.25">
      <c r="A109" s="66" t="s">
        <v>640</v>
      </c>
      <c r="B109" s="66" t="s">
        <v>352</v>
      </c>
      <c r="C109" s="67">
        <v>2022</v>
      </c>
      <c r="D109" s="67">
        <v>2022</v>
      </c>
      <c r="E109" s="67" t="s">
        <v>363</v>
      </c>
      <c r="F109" s="67"/>
      <c r="G109" s="67"/>
      <c r="H109" s="67"/>
      <c r="I109" s="67"/>
      <c r="J109" s="68"/>
      <c r="K109" s="141" t="s">
        <v>647</v>
      </c>
      <c r="L109" s="68" t="s">
        <v>514</v>
      </c>
      <c r="M109" s="68">
        <v>1</v>
      </c>
      <c r="N109" s="67"/>
      <c r="O109" s="68"/>
      <c r="P109" s="68"/>
      <c r="Q109" s="65"/>
      <c r="R109" s="65">
        <f>'SP SERVIZI 22-23 '!O198</f>
        <v>2400</v>
      </c>
      <c r="S109" s="65"/>
      <c r="T109" s="142">
        <f t="shared" si="1"/>
        <v>2400</v>
      </c>
      <c r="U109" s="65"/>
      <c r="V109" s="67"/>
      <c r="W109" s="69"/>
      <c r="X109" s="70"/>
      <c r="Y109" s="71"/>
    </row>
    <row r="110" spans="1:25" ht="38.25" customHeight="1" x14ac:dyDescent="0.25">
      <c r="A110" s="66"/>
      <c r="B110" s="66"/>
      <c r="C110" s="67"/>
      <c r="D110" s="67"/>
      <c r="E110" s="67"/>
      <c r="F110" s="67"/>
      <c r="G110" s="67"/>
      <c r="H110" s="67"/>
      <c r="I110" s="67"/>
      <c r="J110" s="68"/>
      <c r="K110" s="141"/>
      <c r="L110" s="68" t="s">
        <v>1038</v>
      </c>
      <c r="M110" s="68"/>
      <c r="N110" s="67"/>
      <c r="O110" s="68"/>
      <c r="P110" s="68"/>
      <c r="Q110" s="142"/>
      <c r="R110" s="142">
        <f>'SP SERVIZI 22-23 '!P201</f>
        <v>8180.48</v>
      </c>
      <c r="S110" s="142"/>
      <c r="T110" s="142">
        <f t="shared" si="1"/>
        <v>8180.48</v>
      </c>
      <c r="U110" s="142"/>
      <c r="V110" s="67"/>
      <c r="W110" s="69"/>
      <c r="X110" s="70"/>
      <c r="Y110" s="71"/>
    </row>
    <row r="111" spans="1:25" ht="38.25" customHeight="1" x14ac:dyDescent="0.25">
      <c r="A111" s="66"/>
      <c r="B111" s="66"/>
      <c r="C111" s="67"/>
      <c r="D111" s="67"/>
      <c r="E111" s="67"/>
      <c r="F111" s="67"/>
      <c r="G111" s="67"/>
      <c r="H111" s="67"/>
      <c r="I111" s="67"/>
      <c r="J111" s="68"/>
      <c r="K111" s="141"/>
      <c r="L111" s="68" t="s">
        <v>1039</v>
      </c>
      <c r="M111" s="68"/>
      <c r="N111" s="67"/>
      <c r="O111" s="68"/>
      <c r="P111" s="68"/>
      <c r="Q111" s="142"/>
      <c r="R111" s="142">
        <f>'SP SERVIZI 22-23 '!O202</f>
        <v>4000</v>
      </c>
      <c r="S111" s="142"/>
      <c r="T111" s="142">
        <f t="shared" si="1"/>
        <v>4000</v>
      </c>
      <c r="U111" s="142"/>
      <c r="V111" s="67"/>
      <c r="W111" s="69"/>
      <c r="X111" s="70"/>
      <c r="Y111" s="71"/>
    </row>
    <row r="112" spans="1:25" ht="38.25" customHeight="1" x14ac:dyDescent="0.2">
      <c r="A112" s="66" t="s">
        <v>641</v>
      </c>
      <c r="B112" s="66" t="s">
        <v>352</v>
      </c>
      <c r="C112" s="67">
        <v>2022</v>
      </c>
      <c r="D112" s="67">
        <v>2022</v>
      </c>
      <c r="E112" s="67" t="s">
        <v>363</v>
      </c>
      <c r="F112" s="67" t="s">
        <v>363</v>
      </c>
      <c r="G112" s="67" t="s">
        <v>363</v>
      </c>
      <c r="H112" s="67" t="s">
        <v>363</v>
      </c>
      <c r="I112" s="67" t="s">
        <v>355</v>
      </c>
      <c r="J112" s="68" t="s">
        <v>356</v>
      </c>
      <c r="K112" s="67" t="s">
        <v>450</v>
      </c>
      <c r="L112" s="68" t="s">
        <v>451</v>
      </c>
      <c r="M112" s="68">
        <v>2</v>
      </c>
      <c r="N112" s="67"/>
      <c r="O112" s="68"/>
      <c r="P112" s="68"/>
      <c r="Q112" s="65"/>
      <c r="R112" s="65">
        <f>'SP SERVIZI 22-23 '!O204</f>
        <v>3047.49</v>
      </c>
      <c r="S112" s="65"/>
      <c r="T112" s="142">
        <f t="shared" si="1"/>
        <v>3047.49</v>
      </c>
      <c r="U112" s="65"/>
      <c r="V112" s="67"/>
      <c r="W112" s="69"/>
      <c r="X112" s="70"/>
      <c r="Y112" s="71"/>
    </row>
    <row r="113" spans="1:25" ht="38.25" customHeight="1" x14ac:dyDescent="0.2">
      <c r="A113" s="66" t="s">
        <v>642</v>
      </c>
      <c r="B113" s="66" t="s">
        <v>352</v>
      </c>
      <c r="C113" s="67">
        <v>2022</v>
      </c>
      <c r="D113" s="67">
        <v>2022</v>
      </c>
      <c r="E113" s="67" t="s">
        <v>363</v>
      </c>
      <c r="F113" s="67" t="s">
        <v>363</v>
      </c>
      <c r="G113" s="67" t="s">
        <v>363</v>
      </c>
      <c r="H113" s="67" t="s">
        <v>363</v>
      </c>
      <c r="I113" s="67" t="s">
        <v>355</v>
      </c>
      <c r="J113" s="68" t="s">
        <v>406</v>
      </c>
      <c r="K113" s="67" t="s">
        <v>453</v>
      </c>
      <c r="L113" s="68" t="s">
        <v>454</v>
      </c>
      <c r="M113" s="68">
        <v>2</v>
      </c>
      <c r="N113" s="67"/>
      <c r="O113" s="68"/>
      <c r="P113" s="68"/>
      <c r="Q113" s="65"/>
      <c r="R113" s="65">
        <f>'SP SERVIZI 22-23 '!O205</f>
        <v>1453</v>
      </c>
      <c r="S113" s="65"/>
      <c r="T113" s="142">
        <f t="shared" si="1"/>
        <v>1453</v>
      </c>
      <c r="U113" s="65"/>
      <c r="V113" s="67"/>
      <c r="W113" s="69"/>
      <c r="X113" s="70"/>
      <c r="Y113" s="71"/>
    </row>
    <row r="114" spans="1:25" ht="38.25" customHeight="1" x14ac:dyDescent="0.2">
      <c r="A114" s="66" t="s">
        <v>643</v>
      </c>
      <c r="B114" s="66" t="s">
        <v>352</v>
      </c>
      <c r="C114" s="67">
        <v>2022</v>
      </c>
      <c r="D114" s="67">
        <v>2022</v>
      </c>
      <c r="E114" s="67" t="s">
        <v>363</v>
      </c>
      <c r="F114" s="67" t="s">
        <v>363</v>
      </c>
      <c r="G114" s="67" t="s">
        <v>363</v>
      </c>
      <c r="H114" s="67" t="s">
        <v>363</v>
      </c>
      <c r="I114" s="67" t="s">
        <v>355</v>
      </c>
      <c r="J114" s="68" t="s">
        <v>406</v>
      </c>
      <c r="K114" s="67" t="s">
        <v>456</v>
      </c>
      <c r="L114" s="68" t="s">
        <v>457</v>
      </c>
      <c r="M114" s="68">
        <v>3</v>
      </c>
      <c r="N114" s="67"/>
      <c r="O114" s="68"/>
      <c r="P114" s="68"/>
      <c r="Q114" s="65"/>
      <c r="R114" s="65">
        <v>0</v>
      </c>
      <c r="S114" s="65"/>
      <c r="T114" s="142">
        <f t="shared" si="1"/>
        <v>0</v>
      </c>
      <c r="U114" s="65"/>
      <c r="V114" s="67"/>
      <c r="W114" s="69"/>
      <c r="X114" s="70"/>
      <c r="Y114" s="71"/>
    </row>
    <row r="115" spans="1:25" ht="15" customHeight="1" x14ac:dyDescent="0.2">
      <c r="A115" s="81"/>
      <c r="Q115" s="603">
        <f>SUM(Q10:Q114)</f>
        <v>1977142.1300000001</v>
      </c>
      <c r="R115" s="603">
        <f>SUM(R63:R114)</f>
        <v>1953479.61</v>
      </c>
      <c r="S115" s="603">
        <f>SUM(S13:S114)</f>
        <v>0</v>
      </c>
      <c r="T115" s="603">
        <f>SUM(T10:T114)</f>
        <v>3930621.74</v>
      </c>
      <c r="U115" s="603" t="s">
        <v>458</v>
      </c>
    </row>
    <row r="116" spans="1:25" x14ac:dyDescent="0.2">
      <c r="A116" s="66"/>
    </row>
    <row r="117" spans="1:25" x14ac:dyDescent="0.2">
      <c r="A117" s="711" t="s">
        <v>459</v>
      </c>
      <c r="B117" s="711"/>
      <c r="C117" s="711"/>
      <c r="D117" s="711"/>
      <c r="E117" s="711"/>
      <c r="F117" s="711"/>
      <c r="G117" s="711"/>
      <c r="H117" s="711"/>
      <c r="I117" s="711"/>
      <c r="J117" s="711"/>
      <c r="K117" s="711"/>
      <c r="L117" s="711"/>
    </row>
    <row r="118" spans="1:25" x14ac:dyDescent="0.2">
      <c r="A118" s="712" t="s">
        <v>460</v>
      </c>
      <c r="B118" s="712"/>
      <c r="C118" s="712"/>
      <c r="D118" s="713"/>
      <c r="E118" s="713"/>
      <c r="F118" s="713"/>
      <c r="G118" s="713"/>
      <c r="H118" s="713"/>
      <c r="I118" s="713"/>
      <c r="J118" s="713"/>
      <c r="K118" s="713"/>
      <c r="L118" s="713"/>
    </row>
    <row r="119" spans="1:25" x14ac:dyDescent="0.2">
      <c r="A119" s="699" t="s">
        <v>461</v>
      </c>
      <c r="B119" s="699"/>
      <c r="C119" s="699"/>
      <c r="D119" s="699"/>
      <c r="E119" s="699"/>
      <c r="F119" s="699"/>
      <c r="G119" s="699"/>
      <c r="H119" s="699"/>
      <c r="I119" s="699"/>
      <c r="J119" s="699"/>
      <c r="K119" s="699"/>
      <c r="L119" s="699"/>
      <c r="Q119" s="83" t="s">
        <v>462</v>
      </c>
    </row>
    <row r="120" spans="1:25" ht="25.5" customHeight="1" x14ac:dyDescent="0.2">
      <c r="A120" s="699" t="s">
        <v>463</v>
      </c>
      <c r="B120" s="699"/>
      <c r="C120" s="699"/>
      <c r="D120" s="699"/>
      <c r="E120" s="699"/>
      <c r="F120" s="699"/>
      <c r="G120" s="699"/>
      <c r="H120" s="699"/>
      <c r="I120" s="699"/>
      <c r="J120" s="699"/>
      <c r="K120" s="699"/>
      <c r="L120" s="699"/>
      <c r="M120" s="699"/>
      <c r="N120" s="699"/>
      <c r="Q120" s="83" t="s">
        <v>464</v>
      </c>
      <c r="Y120" s="83"/>
    </row>
    <row r="121" spans="1:25" x14ac:dyDescent="0.2">
      <c r="A121" s="699" t="s">
        <v>465</v>
      </c>
      <c r="B121" s="704"/>
      <c r="C121" s="704"/>
      <c r="D121" s="704"/>
      <c r="E121" s="704"/>
      <c r="F121" s="704"/>
      <c r="G121" s="704"/>
      <c r="H121" s="704"/>
      <c r="I121" s="704"/>
      <c r="J121" s="704"/>
      <c r="K121" s="704"/>
      <c r="L121" s="704"/>
      <c r="Q121" s="83"/>
      <c r="Y121" s="83"/>
    </row>
    <row r="122" spans="1:25" x14ac:dyDescent="0.2">
      <c r="A122" s="705" t="s">
        <v>466</v>
      </c>
      <c r="B122" s="705"/>
      <c r="C122" s="705"/>
      <c r="D122" s="705"/>
      <c r="E122" s="705"/>
      <c r="F122" s="705"/>
      <c r="G122" s="705"/>
      <c r="H122" s="705"/>
      <c r="I122" s="705"/>
      <c r="J122" s="705"/>
      <c r="K122" s="705"/>
      <c r="L122" s="705"/>
    </row>
    <row r="123" spans="1:25" ht="12.75" customHeight="1" x14ac:dyDescent="0.2">
      <c r="A123" s="699" t="s">
        <v>467</v>
      </c>
      <c r="B123" s="699"/>
      <c r="C123" s="699"/>
      <c r="D123" s="699"/>
      <c r="E123" s="699"/>
      <c r="F123" s="699"/>
      <c r="G123" s="699"/>
      <c r="H123" s="699"/>
      <c r="I123" s="699"/>
      <c r="J123" s="699"/>
      <c r="K123" s="699"/>
      <c r="L123" s="84"/>
      <c r="P123" s="706" t="s">
        <v>468</v>
      </c>
      <c r="Q123" s="707"/>
      <c r="R123" s="707"/>
      <c r="S123" s="707"/>
      <c r="T123" s="707"/>
      <c r="U123" s="707"/>
      <c r="V123" s="707"/>
      <c r="W123" s="707"/>
      <c r="X123" s="708"/>
    </row>
    <row r="124" spans="1:25" ht="12.75" customHeight="1" x14ac:dyDescent="0.2">
      <c r="A124" s="699" t="s">
        <v>469</v>
      </c>
      <c r="B124" s="699"/>
      <c r="C124" s="699"/>
      <c r="D124" s="699"/>
      <c r="E124" s="699"/>
      <c r="F124" s="699"/>
      <c r="G124" s="699"/>
      <c r="H124" s="699"/>
      <c r="I124" s="699"/>
      <c r="J124" s="699"/>
      <c r="K124" s="699"/>
      <c r="P124" s="700" t="s">
        <v>470</v>
      </c>
      <c r="Q124" s="701"/>
      <c r="R124" s="701"/>
      <c r="S124" s="701"/>
      <c r="T124" s="702"/>
      <c r="U124" s="85" t="s">
        <v>471</v>
      </c>
      <c r="V124" s="86"/>
      <c r="W124" s="86"/>
      <c r="X124" s="87"/>
    </row>
    <row r="125" spans="1:25" ht="12.75" customHeight="1" x14ac:dyDescent="0.2">
      <c r="A125" s="699" t="s">
        <v>472</v>
      </c>
      <c r="B125" s="699"/>
      <c r="C125" s="699"/>
      <c r="D125" s="699"/>
      <c r="E125" s="699"/>
      <c r="F125" s="699"/>
      <c r="G125" s="699"/>
      <c r="H125" s="699"/>
      <c r="I125" s="699"/>
      <c r="J125" s="699"/>
      <c r="K125" s="699"/>
      <c r="L125" s="699"/>
      <c r="M125" s="699"/>
      <c r="N125" s="699"/>
      <c r="P125" s="88"/>
      <c r="Q125" s="89"/>
      <c r="R125" s="89"/>
      <c r="S125" s="89"/>
      <c r="T125" s="89"/>
      <c r="U125" s="90"/>
      <c r="V125" s="86"/>
      <c r="W125" s="86"/>
      <c r="X125" s="87"/>
    </row>
    <row r="126" spans="1:25" ht="12.75" customHeight="1" x14ac:dyDescent="0.2">
      <c r="A126" s="699" t="s">
        <v>473</v>
      </c>
      <c r="B126" s="699"/>
      <c r="C126" s="699"/>
      <c r="D126" s="699"/>
      <c r="E126" s="699"/>
      <c r="F126" s="699"/>
      <c r="G126" s="699"/>
      <c r="H126" s="699"/>
      <c r="I126" s="699"/>
      <c r="J126" s="699"/>
      <c r="K126" s="699"/>
      <c r="L126" s="699"/>
      <c r="M126" s="699"/>
      <c r="N126" s="699"/>
      <c r="P126" s="716" t="s">
        <v>474</v>
      </c>
      <c r="Q126" s="717"/>
      <c r="R126" s="717"/>
      <c r="S126" s="717"/>
      <c r="T126" s="717"/>
      <c r="U126" s="717"/>
      <c r="V126" s="717"/>
      <c r="W126" s="717"/>
      <c r="X126" s="718"/>
    </row>
    <row r="127" spans="1:25" ht="12" customHeight="1" x14ac:dyDescent="0.25">
      <c r="A127" s="699" t="s">
        <v>475</v>
      </c>
      <c r="B127" s="699"/>
      <c r="C127" s="699"/>
      <c r="D127" s="699"/>
      <c r="E127" s="699"/>
      <c r="F127" s="699"/>
      <c r="G127" s="699"/>
      <c r="H127" s="699"/>
      <c r="I127" s="699"/>
      <c r="J127" s="699"/>
      <c r="K127" s="699"/>
      <c r="L127" s="699"/>
      <c r="M127" s="699"/>
      <c r="N127" s="699"/>
      <c r="P127" s="719" t="s">
        <v>476</v>
      </c>
      <c r="Q127" s="720"/>
      <c r="R127" s="720"/>
      <c r="S127" s="720"/>
      <c r="T127" s="721"/>
      <c r="U127" s="91" t="s">
        <v>477</v>
      </c>
      <c r="V127" s="91" t="s">
        <v>478</v>
      </c>
      <c r="W127" s="722" t="s">
        <v>479</v>
      </c>
      <c r="X127" s="723"/>
    </row>
    <row r="128" spans="1:25" ht="12.75" customHeight="1" x14ac:dyDescent="0.2">
      <c r="A128" s="699" t="s">
        <v>480</v>
      </c>
      <c r="B128" s="699"/>
      <c r="C128" s="699"/>
      <c r="D128" s="699"/>
      <c r="E128" s="699"/>
      <c r="F128" s="699"/>
      <c r="G128" s="699"/>
      <c r="H128" s="699"/>
      <c r="I128" s="699"/>
      <c r="J128" s="699"/>
      <c r="K128" s="699"/>
      <c r="L128" s="699"/>
      <c r="M128" s="699"/>
      <c r="N128" s="699"/>
      <c r="P128" s="724" t="s">
        <v>481</v>
      </c>
      <c r="Q128" s="725"/>
      <c r="R128" s="725"/>
      <c r="S128" s="725"/>
      <c r="T128" s="726"/>
      <c r="U128" s="85" t="s">
        <v>482</v>
      </c>
      <c r="V128" s="92" t="s">
        <v>482</v>
      </c>
      <c r="W128" s="724" t="s">
        <v>482</v>
      </c>
      <c r="X128" s="726"/>
    </row>
    <row r="129" spans="1:24" s="93" customFormat="1" ht="12.75" customHeight="1" x14ac:dyDescent="0.2">
      <c r="A129" s="699" t="s">
        <v>483</v>
      </c>
      <c r="B129" s="699"/>
      <c r="C129" s="699"/>
      <c r="D129" s="699"/>
      <c r="E129" s="699"/>
      <c r="F129" s="699"/>
      <c r="G129" s="699"/>
      <c r="H129" s="699"/>
      <c r="I129" s="699"/>
      <c r="J129" s="699"/>
      <c r="K129" s="699"/>
      <c r="L129" s="699"/>
      <c r="M129" s="699"/>
      <c r="N129" s="699"/>
      <c r="P129" s="724" t="s">
        <v>484</v>
      </c>
      <c r="Q129" s="725"/>
      <c r="R129" s="725"/>
      <c r="S129" s="725"/>
      <c r="T129" s="726"/>
      <c r="U129" s="85" t="s">
        <v>482</v>
      </c>
      <c r="V129" s="92" t="s">
        <v>482</v>
      </c>
      <c r="W129" s="724" t="s">
        <v>482</v>
      </c>
      <c r="X129" s="726"/>
    </row>
    <row r="130" spans="1:24" s="93" customFormat="1" ht="12.75" customHeight="1" x14ac:dyDescent="0.2">
      <c r="A130" s="699"/>
      <c r="B130" s="699"/>
      <c r="C130" s="699"/>
      <c r="D130" s="699"/>
      <c r="E130" s="699"/>
      <c r="F130" s="699"/>
      <c r="G130" s="699"/>
      <c r="H130" s="699"/>
      <c r="I130" s="699"/>
      <c r="J130" s="699"/>
      <c r="K130" s="699"/>
      <c r="L130" s="699"/>
      <c r="M130" s="699"/>
      <c r="N130" s="699"/>
      <c r="P130" s="724" t="s">
        <v>485</v>
      </c>
      <c r="Q130" s="725"/>
      <c r="R130" s="725"/>
      <c r="S130" s="725"/>
      <c r="T130" s="726"/>
      <c r="U130" s="85">
        <v>4599555</v>
      </c>
      <c r="V130" s="94">
        <v>4570379</v>
      </c>
      <c r="W130" s="724">
        <v>4570179</v>
      </c>
      <c r="X130" s="726"/>
    </row>
    <row r="131" spans="1:24" s="93" customFormat="1" ht="12.75" customHeight="1" x14ac:dyDescent="0.2">
      <c r="A131" s="95"/>
      <c r="B131" s="95"/>
      <c r="C131" s="95"/>
      <c r="D131" s="95"/>
      <c r="E131" s="95"/>
      <c r="F131" s="95"/>
      <c r="G131" s="95"/>
      <c r="H131" s="95"/>
      <c r="I131" s="95"/>
      <c r="J131" s="95"/>
      <c r="K131" s="95"/>
      <c r="L131" s="95"/>
      <c r="M131" s="95"/>
      <c r="N131" s="95"/>
      <c r="P131" s="724" t="s">
        <v>486</v>
      </c>
      <c r="Q131" s="725"/>
      <c r="R131" s="725"/>
      <c r="S131" s="725"/>
      <c r="T131" s="726"/>
      <c r="U131" s="85" t="s">
        <v>482</v>
      </c>
      <c r="V131" s="92" t="s">
        <v>482</v>
      </c>
      <c r="W131" s="724" t="s">
        <v>482</v>
      </c>
      <c r="X131" s="726"/>
    </row>
    <row r="132" spans="1:24" ht="12" customHeight="1" x14ac:dyDescent="0.2">
      <c r="A132" s="96" t="s">
        <v>487</v>
      </c>
      <c r="P132" s="724" t="s">
        <v>488</v>
      </c>
      <c r="Q132" s="725"/>
      <c r="R132" s="725"/>
      <c r="S132" s="725"/>
      <c r="T132" s="726"/>
      <c r="U132" s="85" t="s">
        <v>482</v>
      </c>
      <c r="V132" s="92" t="s">
        <v>482</v>
      </c>
      <c r="W132" s="724" t="s">
        <v>482</v>
      </c>
      <c r="X132" s="726"/>
    </row>
    <row r="133" spans="1:24" ht="12.75" customHeight="1" x14ac:dyDescent="0.2">
      <c r="A133" s="704" t="s">
        <v>489</v>
      </c>
      <c r="B133" s="704"/>
      <c r="J133" s="97"/>
      <c r="P133" s="724" t="s">
        <v>490</v>
      </c>
      <c r="Q133" s="725"/>
      <c r="R133" s="725"/>
      <c r="S133" s="725"/>
      <c r="T133" s="726"/>
      <c r="U133" s="85" t="s">
        <v>482</v>
      </c>
      <c r="V133" s="92" t="s">
        <v>482</v>
      </c>
      <c r="W133" s="724" t="s">
        <v>482</v>
      </c>
      <c r="X133" s="726"/>
    </row>
    <row r="134" spans="1:24" x14ac:dyDescent="0.2">
      <c r="A134" s="704" t="s">
        <v>491</v>
      </c>
      <c r="B134" s="704"/>
    </row>
    <row r="135" spans="1:24" ht="12.75" customHeight="1" x14ac:dyDescent="0.2">
      <c r="A135" s="704" t="s">
        <v>492</v>
      </c>
      <c r="B135" s="704"/>
    </row>
    <row r="136" spans="1:24" ht="12.75" customHeight="1" x14ac:dyDescent="0.2"/>
    <row r="137" spans="1:24" ht="12.75" customHeight="1" x14ac:dyDescent="0.2">
      <c r="A137" s="98" t="s">
        <v>493</v>
      </c>
      <c r="B137" s="93"/>
      <c r="C137" s="93"/>
      <c r="D137" s="93"/>
      <c r="W137" s="93"/>
      <c r="X137" s="93"/>
    </row>
    <row r="138" spans="1:24" s="93" customFormat="1" ht="14.25" customHeight="1" x14ac:dyDescent="0.2">
      <c r="A138" s="727" t="s">
        <v>494</v>
      </c>
      <c r="B138" s="727"/>
      <c r="C138" s="727"/>
      <c r="D138" s="727"/>
      <c r="E138" s="95"/>
      <c r="F138" s="95"/>
      <c r="G138" s="95"/>
      <c r="H138" s="95"/>
      <c r="I138" s="95"/>
      <c r="J138" s="95"/>
      <c r="K138" s="95"/>
      <c r="L138" s="95"/>
      <c r="M138" s="95"/>
      <c r="O138" s="62"/>
      <c r="P138" s="62"/>
      <c r="Q138" s="62"/>
      <c r="R138" s="62"/>
      <c r="S138" s="62"/>
      <c r="T138" s="62"/>
      <c r="U138" s="62"/>
      <c r="V138" s="62"/>
      <c r="W138" s="62"/>
      <c r="X138" s="62"/>
    </row>
    <row r="139" spans="1:24" ht="14.25" customHeight="1" x14ac:dyDescent="0.2">
      <c r="A139" s="727" t="s">
        <v>495</v>
      </c>
      <c r="B139" s="727"/>
      <c r="C139" s="727"/>
      <c r="D139" s="727"/>
    </row>
    <row r="140" spans="1:24" ht="14.25" customHeight="1" x14ac:dyDescent="0.2">
      <c r="A140" s="727" t="s">
        <v>496</v>
      </c>
      <c r="B140" s="727"/>
      <c r="C140" s="727"/>
      <c r="D140" s="727"/>
      <c r="J140" s="97"/>
    </row>
    <row r="141" spans="1:24" ht="14.25" customHeight="1" x14ac:dyDescent="0.2">
      <c r="A141" s="727" t="s">
        <v>497</v>
      </c>
      <c r="B141" s="727"/>
      <c r="C141" s="727"/>
      <c r="D141" s="727"/>
    </row>
    <row r="142" spans="1:24" ht="14.25" customHeight="1" x14ac:dyDescent="0.2">
      <c r="A142" s="727" t="s">
        <v>498</v>
      </c>
      <c r="B142" s="727"/>
      <c r="C142" s="727"/>
      <c r="D142" s="727"/>
    </row>
  </sheetData>
  <mergeCells count="68">
    <mergeCell ref="A139:D139"/>
    <mergeCell ref="A140:D140"/>
    <mergeCell ref="A141:D141"/>
    <mergeCell ref="A142:D142"/>
    <mergeCell ref="A133:B133"/>
    <mergeCell ref="P133:T133"/>
    <mergeCell ref="W133:X133"/>
    <mergeCell ref="A134:B134"/>
    <mergeCell ref="A135:B135"/>
    <mergeCell ref="A138:D138"/>
    <mergeCell ref="P132:T132"/>
    <mergeCell ref="W132:X132"/>
    <mergeCell ref="A128:N128"/>
    <mergeCell ref="P128:T128"/>
    <mergeCell ref="W128:X128"/>
    <mergeCell ref="A129:N129"/>
    <mergeCell ref="P129:T129"/>
    <mergeCell ref="W129:X129"/>
    <mergeCell ref="A130:N130"/>
    <mergeCell ref="P130:T130"/>
    <mergeCell ref="W130:X130"/>
    <mergeCell ref="P131:T131"/>
    <mergeCell ref="W131:X131"/>
    <mergeCell ref="A125:N125"/>
    <mergeCell ref="A126:N126"/>
    <mergeCell ref="P126:X126"/>
    <mergeCell ref="A127:N127"/>
    <mergeCell ref="P127:T127"/>
    <mergeCell ref="W127:X127"/>
    <mergeCell ref="Q7:V7"/>
    <mergeCell ref="W7:X7"/>
    <mergeCell ref="H7:H9"/>
    <mergeCell ref="I7:I9"/>
    <mergeCell ref="J7:J9"/>
    <mergeCell ref="S8:S9"/>
    <mergeCell ref="T8:T9"/>
    <mergeCell ref="A124:K124"/>
    <mergeCell ref="P124:T124"/>
    <mergeCell ref="U8:V8"/>
    <mergeCell ref="A120:N120"/>
    <mergeCell ref="A121:L121"/>
    <mergeCell ref="A122:L122"/>
    <mergeCell ref="A123:K123"/>
    <mergeCell ref="P123:X123"/>
    <mergeCell ref="K7:K9"/>
    <mergeCell ref="L7:L9"/>
    <mergeCell ref="M7:M9"/>
    <mergeCell ref="W8:W9"/>
    <mergeCell ref="X8:X9"/>
    <mergeCell ref="A117:L117"/>
    <mergeCell ref="A118:L118"/>
    <mergeCell ref="A119:L119"/>
    <mergeCell ref="A1:Y1"/>
    <mergeCell ref="A2:Y2"/>
    <mergeCell ref="A4:Y4"/>
    <mergeCell ref="A7:A9"/>
    <mergeCell ref="B7:B9"/>
    <mergeCell ref="C7:C9"/>
    <mergeCell ref="D7:D9"/>
    <mergeCell ref="E7:E9"/>
    <mergeCell ref="F7:F9"/>
    <mergeCell ref="G7:G9"/>
    <mergeCell ref="Y7:Y9"/>
    <mergeCell ref="Q8:Q9"/>
    <mergeCell ref="R8:R9"/>
    <mergeCell ref="N7:N9"/>
    <mergeCell ref="O7:O9"/>
    <mergeCell ref="P7:P9"/>
  </mergeCells>
  <pageMargins left="0.70866141732283472" right="0.70866141732283472" top="0.74803149606299213" bottom="0.74803149606299213" header="0.31496062992125984" footer="0.31496062992125984"/>
  <pageSetup paperSize="8" scale="6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99"/>
  </sheetPr>
  <dimension ref="A1:V178"/>
  <sheetViews>
    <sheetView topLeftCell="O100" workbookViewId="0">
      <selection activeCell="N100" sqref="A1:N1048576"/>
    </sheetView>
  </sheetViews>
  <sheetFormatPr defaultColWidth="9.140625" defaultRowHeight="15" x14ac:dyDescent="0.25"/>
  <cols>
    <col min="1" max="1" width="11.140625" hidden="1" customWidth="1"/>
    <col min="2" max="2" width="11.7109375" style="451" hidden="1" customWidth="1"/>
    <col min="3" max="3" width="55.28515625" style="59" hidden="1" customWidth="1"/>
    <col min="4" max="4" width="19.7109375" style="60" hidden="1" customWidth="1"/>
    <col min="5" max="5" width="20.140625" style="453" hidden="1" customWidth="1"/>
    <col min="6" max="7" width="20.140625" style="60" hidden="1" customWidth="1"/>
    <col min="8" max="8" width="17.85546875" style="60" hidden="1" customWidth="1"/>
    <col min="9" max="9" width="19" hidden="1" customWidth="1"/>
    <col min="10" max="10" width="32.7109375" hidden="1" customWidth="1"/>
    <col min="11" max="11" width="15.5703125" hidden="1" customWidth="1"/>
    <col min="12" max="13" width="9.140625" hidden="1" customWidth="1"/>
    <col min="14" max="14" width="18" hidden="1" customWidth="1"/>
    <col min="15" max="15" width="75" bestFit="1" customWidth="1"/>
    <col min="16" max="16" width="17.85546875" style="60" customWidth="1"/>
    <col min="17" max="17" width="30.42578125" style="632" customWidth="1"/>
    <col min="18" max="18" width="17.85546875" style="60" customWidth="1"/>
    <col min="19" max="19" width="17.85546875" style="60" hidden="1" customWidth="1"/>
    <col min="20" max="20" width="45.140625" bestFit="1" customWidth="1"/>
    <col min="21" max="21" width="20.42578125" customWidth="1"/>
    <col min="22" max="22" width="11.85546875" style="164" bestFit="1" customWidth="1"/>
  </cols>
  <sheetData>
    <row r="1" spans="1:22" ht="75" x14ac:dyDescent="0.25">
      <c r="B1" s="153"/>
      <c r="C1" s="3" t="s">
        <v>1</v>
      </c>
      <c r="D1" s="4" t="s">
        <v>675</v>
      </c>
      <c r="E1" s="154" t="s">
        <v>2</v>
      </c>
      <c r="F1" s="155" t="s">
        <v>676</v>
      </c>
      <c r="G1" s="156" t="s">
        <v>677</v>
      </c>
      <c r="H1" s="4" t="s">
        <v>678</v>
      </c>
      <c r="I1" s="157" t="s">
        <v>679</v>
      </c>
      <c r="J1" s="157" t="s">
        <v>680</v>
      </c>
      <c r="K1" s="157" t="s">
        <v>681</v>
      </c>
      <c r="P1" s="4" t="s">
        <v>682</v>
      </c>
      <c r="R1" s="4" t="s">
        <v>683</v>
      </c>
      <c r="S1" s="158"/>
      <c r="T1" s="159" t="s">
        <v>684</v>
      </c>
      <c r="U1" s="159" t="s">
        <v>685</v>
      </c>
      <c r="V1" s="160" t="s">
        <v>686</v>
      </c>
    </row>
    <row r="2" spans="1:22" ht="33.75" customHeight="1" x14ac:dyDescent="0.3">
      <c r="B2" s="231" t="e">
        <f>#REF!+1</f>
        <v>#REF!</v>
      </c>
      <c r="C2" s="22" t="s">
        <v>56</v>
      </c>
      <c r="D2" s="7"/>
      <c r="E2" s="162"/>
      <c r="F2" s="7"/>
      <c r="G2" s="7"/>
      <c r="H2" s="7"/>
      <c r="I2" s="19" t="s">
        <v>95</v>
      </c>
      <c r="O2" s="22" t="s">
        <v>56</v>
      </c>
      <c r="P2" s="7"/>
      <c r="R2" s="7"/>
      <c r="S2" s="163"/>
    </row>
    <row r="3" spans="1:22" ht="33.75" customHeight="1" x14ac:dyDescent="0.25">
      <c r="B3" s="231" t="e">
        <f>#REF!+1</f>
        <v>#REF!</v>
      </c>
      <c r="C3" s="53" t="s">
        <v>66</v>
      </c>
      <c r="D3" s="52">
        <v>714</v>
      </c>
      <c r="E3" s="239">
        <v>1526</v>
      </c>
      <c r="F3" s="52">
        <v>564.04999999999995</v>
      </c>
      <c r="G3" s="52">
        <f>F3-E3</f>
        <v>-961.95</v>
      </c>
      <c r="H3" s="52">
        <f>F3</f>
        <v>564.04999999999995</v>
      </c>
      <c r="I3" s="19" t="s">
        <v>95</v>
      </c>
      <c r="O3" s="53" t="s">
        <v>66</v>
      </c>
      <c r="P3" s="52">
        <v>564.04999999999995</v>
      </c>
      <c r="R3" s="52">
        <v>564.04999999999995</v>
      </c>
      <c r="S3" s="240"/>
    </row>
    <row r="4" spans="1:22" ht="33.75" customHeight="1" x14ac:dyDescent="0.25">
      <c r="B4" s="231" t="e">
        <f>B3+1</f>
        <v>#REF!</v>
      </c>
      <c r="C4" s="53" t="s">
        <v>67</v>
      </c>
      <c r="D4" s="52">
        <v>173</v>
      </c>
      <c r="E4" s="239">
        <v>22215</v>
      </c>
      <c r="F4" s="52">
        <v>104.79</v>
      </c>
      <c r="G4" s="52">
        <f>F4-E4</f>
        <v>-22110.21</v>
      </c>
      <c r="H4" s="52">
        <f>F4</f>
        <v>104.79</v>
      </c>
      <c r="I4" s="19" t="s">
        <v>95</v>
      </c>
      <c r="O4" s="53" t="s">
        <v>67</v>
      </c>
      <c r="P4" s="52">
        <v>104.79</v>
      </c>
      <c r="R4" s="52">
        <v>104.79</v>
      </c>
      <c r="S4" s="240"/>
    </row>
    <row r="5" spans="1:22" ht="33.75" customHeight="1" x14ac:dyDescent="0.25">
      <c r="B5" s="231" t="e">
        <f>B4+1</f>
        <v>#REF!</v>
      </c>
      <c r="C5" s="53" t="s">
        <v>710</v>
      </c>
      <c r="D5" s="52">
        <v>70</v>
      </c>
      <c r="E5" s="239">
        <v>36</v>
      </c>
      <c r="F5" s="52">
        <v>20.100000000000001</v>
      </c>
      <c r="G5" s="52">
        <f>F5-E5</f>
        <v>-15.899999999999999</v>
      </c>
      <c r="H5" s="52">
        <f>F5</f>
        <v>20.100000000000001</v>
      </c>
      <c r="I5" s="19" t="s">
        <v>95</v>
      </c>
      <c r="O5" s="53" t="s">
        <v>710</v>
      </c>
      <c r="P5" s="52">
        <v>20.100000000000001</v>
      </c>
      <c r="R5" s="52">
        <v>20.100000000000001</v>
      </c>
      <c r="S5" s="240"/>
    </row>
    <row r="6" spans="1:22" ht="33.75" customHeight="1" x14ac:dyDescent="0.25">
      <c r="A6" s="125"/>
      <c r="B6" s="231" t="e">
        <f>#REF!+1</f>
        <v>#REF!</v>
      </c>
      <c r="C6" s="196" t="s">
        <v>835</v>
      </c>
      <c r="D6" s="197">
        <v>10111.439999999999</v>
      </c>
      <c r="E6" s="198">
        <v>9257</v>
      </c>
      <c r="F6" s="197">
        <v>9731.0499999999993</v>
      </c>
      <c r="G6" s="197">
        <f>F6-E6</f>
        <v>474.04999999999927</v>
      </c>
      <c r="H6" s="197">
        <f>10000+10000*30%</f>
        <v>13000</v>
      </c>
      <c r="I6" s="43" t="s">
        <v>95</v>
      </c>
      <c r="J6" s="125"/>
      <c r="K6" s="125"/>
      <c r="L6" s="125"/>
      <c r="M6" s="125"/>
      <c r="N6" s="125"/>
      <c r="O6" s="196" t="s">
        <v>835</v>
      </c>
      <c r="P6" s="197">
        <f>H6</f>
        <v>13000</v>
      </c>
      <c r="R6" s="197">
        <f>P6</f>
        <v>13000</v>
      </c>
      <c r="S6" s="324"/>
    </row>
    <row r="7" spans="1:22" ht="33.75" customHeight="1" x14ac:dyDescent="0.25">
      <c r="A7" s="125"/>
      <c r="B7" s="231"/>
      <c r="C7" s="196"/>
      <c r="D7" s="197"/>
      <c r="E7" s="198"/>
      <c r="F7" s="197"/>
      <c r="G7" s="197"/>
      <c r="H7" s="197"/>
      <c r="I7" s="43"/>
      <c r="J7" s="125"/>
      <c r="K7" s="125"/>
      <c r="L7" s="125"/>
      <c r="M7" s="125"/>
      <c r="N7" s="125"/>
      <c r="O7" s="196"/>
      <c r="P7" s="197"/>
      <c r="R7" s="197"/>
      <c r="S7" s="324"/>
    </row>
    <row r="8" spans="1:22" ht="33.75" customHeight="1" x14ac:dyDescent="0.25">
      <c r="B8" s="616" t="e">
        <f>B98+1</f>
        <v>#REF!</v>
      </c>
      <c r="C8" s="617" t="s">
        <v>840</v>
      </c>
      <c r="D8" s="594">
        <v>3600</v>
      </c>
      <c r="E8" s="595">
        <v>2350</v>
      </c>
      <c r="F8" s="594">
        <v>2700</v>
      </c>
      <c r="G8" s="594">
        <f t="shared" ref="G8:G14" si="0">F8-E8</f>
        <v>350</v>
      </c>
      <c r="H8" s="594">
        <f t="shared" ref="H8:H14" si="1">F8</f>
        <v>2700</v>
      </c>
      <c r="I8" s="19" t="s">
        <v>95</v>
      </c>
      <c r="O8" s="617" t="s">
        <v>840</v>
      </c>
      <c r="P8" s="594">
        <v>2700</v>
      </c>
      <c r="R8" s="197">
        <v>2700</v>
      </c>
      <c r="S8" s="199"/>
    </row>
    <row r="9" spans="1:22" ht="33.75" customHeight="1" x14ac:dyDescent="0.25">
      <c r="B9" s="616" t="e">
        <f>B50+1</f>
        <v>#REF!</v>
      </c>
      <c r="C9" s="617" t="s">
        <v>192</v>
      </c>
      <c r="D9" s="594">
        <v>0</v>
      </c>
      <c r="E9" s="595">
        <v>0</v>
      </c>
      <c r="F9" s="594">
        <v>0</v>
      </c>
      <c r="G9" s="594">
        <f t="shared" si="0"/>
        <v>0</v>
      </c>
      <c r="H9" s="594">
        <f t="shared" si="1"/>
        <v>0</v>
      </c>
      <c r="I9" s="19" t="s">
        <v>95</v>
      </c>
      <c r="O9" s="617" t="s">
        <v>192</v>
      </c>
      <c r="P9" s="594">
        <v>0</v>
      </c>
      <c r="R9" s="197">
        <v>0</v>
      </c>
      <c r="S9" s="199"/>
    </row>
    <row r="10" spans="1:22" ht="33.75" customHeight="1" x14ac:dyDescent="0.25">
      <c r="B10" s="616" t="e">
        <f>B36+1</f>
        <v>#REF!</v>
      </c>
      <c r="C10" s="617" t="s">
        <v>841</v>
      </c>
      <c r="D10" s="594">
        <v>120</v>
      </c>
      <c r="E10" s="595">
        <v>60</v>
      </c>
      <c r="F10" s="594">
        <v>120</v>
      </c>
      <c r="G10" s="594">
        <f t="shared" si="0"/>
        <v>60</v>
      </c>
      <c r="H10" s="594">
        <f t="shared" si="1"/>
        <v>120</v>
      </c>
      <c r="I10" s="19" t="s">
        <v>95</v>
      </c>
      <c r="O10" s="617" t="s">
        <v>841</v>
      </c>
      <c r="P10" s="594">
        <v>120</v>
      </c>
      <c r="R10" s="197">
        <v>120</v>
      </c>
      <c r="S10" s="199"/>
    </row>
    <row r="11" spans="1:22" ht="33.75" customHeight="1" x14ac:dyDescent="0.25">
      <c r="B11" s="616" t="e">
        <f>B34+1</f>
        <v>#REF!</v>
      </c>
      <c r="C11" s="617" t="s">
        <v>184</v>
      </c>
      <c r="D11" s="594">
        <v>610</v>
      </c>
      <c r="E11" s="595">
        <v>664</v>
      </c>
      <c r="F11" s="594">
        <v>676.71</v>
      </c>
      <c r="G11" s="594">
        <f t="shared" si="0"/>
        <v>12.710000000000036</v>
      </c>
      <c r="H11" s="594">
        <f t="shared" si="1"/>
        <v>676.71</v>
      </c>
      <c r="I11" s="19" t="s">
        <v>95</v>
      </c>
      <c r="O11" s="617" t="s">
        <v>184</v>
      </c>
      <c r="P11" s="594">
        <v>676.71</v>
      </c>
      <c r="R11" s="197">
        <v>676.71</v>
      </c>
      <c r="S11" s="199"/>
    </row>
    <row r="12" spans="1:22" ht="33.75" customHeight="1" x14ac:dyDescent="0.25">
      <c r="B12" s="616" t="e">
        <f>B54+1</f>
        <v>#REF!</v>
      </c>
      <c r="C12" s="617" t="s">
        <v>842</v>
      </c>
      <c r="D12" s="594">
        <v>2500</v>
      </c>
      <c r="E12" s="595">
        <v>445</v>
      </c>
      <c r="F12" s="594">
        <v>2500</v>
      </c>
      <c r="G12" s="594">
        <f t="shared" si="0"/>
        <v>2055</v>
      </c>
      <c r="H12" s="594">
        <f t="shared" si="1"/>
        <v>2500</v>
      </c>
      <c r="I12" s="19" t="s">
        <v>95</v>
      </c>
      <c r="O12" s="617" t="s">
        <v>842</v>
      </c>
      <c r="P12" s="594">
        <v>2500</v>
      </c>
      <c r="R12" s="197">
        <v>2500</v>
      </c>
      <c r="S12" s="199"/>
    </row>
    <row r="13" spans="1:22" ht="33.75" customHeight="1" x14ac:dyDescent="0.25">
      <c r="B13" s="616" t="e">
        <f>B56+1</f>
        <v>#REF!</v>
      </c>
      <c r="C13" s="617" t="s">
        <v>183</v>
      </c>
      <c r="D13" s="594">
        <v>2000</v>
      </c>
      <c r="E13" s="595">
        <v>0</v>
      </c>
      <c r="F13" s="594">
        <v>2000</v>
      </c>
      <c r="G13" s="594">
        <f t="shared" si="0"/>
        <v>2000</v>
      </c>
      <c r="H13" s="594">
        <f t="shared" si="1"/>
        <v>2000</v>
      </c>
      <c r="I13" s="19" t="s">
        <v>95</v>
      </c>
      <c r="O13" s="617" t="s">
        <v>183</v>
      </c>
      <c r="P13" s="594">
        <v>2000</v>
      </c>
      <c r="R13" s="197">
        <v>2000</v>
      </c>
      <c r="S13" s="199"/>
    </row>
    <row r="14" spans="1:22" s="125" customFormat="1" ht="33.75" customHeight="1" x14ac:dyDescent="0.25">
      <c r="B14" s="616"/>
      <c r="C14" s="617" t="s">
        <v>895</v>
      </c>
      <c r="D14" s="594">
        <v>11754</v>
      </c>
      <c r="E14" s="595">
        <v>0</v>
      </c>
      <c r="F14" s="594">
        <v>11811.7</v>
      </c>
      <c r="G14" s="594">
        <f t="shared" si="0"/>
        <v>11811.7</v>
      </c>
      <c r="H14" s="594">
        <f t="shared" si="1"/>
        <v>11811.7</v>
      </c>
      <c r="I14" s="43" t="s">
        <v>95</v>
      </c>
      <c r="N14" s="631">
        <f>SUM(H8:H14)</f>
        <v>19808.41</v>
      </c>
      <c r="O14" s="617" t="s">
        <v>895</v>
      </c>
      <c r="P14" s="594">
        <v>11811.7</v>
      </c>
      <c r="Q14" s="631">
        <f>SUM(P8:P14)</f>
        <v>19808.41</v>
      </c>
      <c r="R14" s="197">
        <v>11811.7</v>
      </c>
      <c r="S14" s="199"/>
      <c r="V14" s="273"/>
    </row>
    <row r="15" spans="1:22" s="125" customFormat="1" ht="33.75" customHeight="1" x14ac:dyDescent="0.25">
      <c r="B15" s="231"/>
      <c r="C15" s="196"/>
      <c r="D15" s="197"/>
      <c r="E15" s="198"/>
      <c r="F15" s="197"/>
      <c r="G15" s="197"/>
      <c r="H15" s="197"/>
      <c r="I15" s="43"/>
      <c r="O15" s="196"/>
      <c r="P15" s="197"/>
      <c r="Q15" s="633"/>
      <c r="R15" s="197"/>
      <c r="S15" s="199"/>
      <c r="V15" s="273"/>
    </row>
    <row r="16" spans="1:22" ht="33.75" customHeight="1" x14ac:dyDescent="0.25">
      <c r="B16" s="616" t="e">
        <f>'trib ins.def. nei lavori 22-24'!B4+1</f>
        <v>#REF!</v>
      </c>
      <c r="C16" s="617" t="s">
        <v>839</v>
      </c>
      <c r="D16" s="594">
        <v>600</v>
      </c>
      <c r="E16" s="595">
        <v>500</v>
      </c>
      <c r="F16" s="594">
        <v>600</v>
      </c>
      <c r="G16" s="594">
        <f t="shared" ref="G16:G28" si="2">F16-E16</f>
        <v>100</v>
      </c>
      <c r="H16" s="594">
        <v>650</v>
      </c>
      <c r="I16" s="19" t="s">
        <v>95</v>
      </c>
      <c r="O16" s="617" t="s">
        <v>839</v>
      </c>
      <c r="P16" s="594">
        <v>650</v>
      </c>
      <c r="R16" s="197">
        <v>650</v>
      </c>
      <c r="S16" s="199"/>
    </row>
    <row r="17" spans="2:22" ht="33.75" customHeight="1" x14ac:dyDescent="0.25">
      <c r="B17" s="616" t="e">
        <f>B57+1</f>
        <v>#REF!</v>
      </c>
      <c r="C17" s="617" t="s">
        <v>843</v>
      </c>
      <c r="D17" s="594">
        <v>15400</v>
      </c>
      <c r="E17" s="595"/>
      <c r="F17" s="594">
        <v>15400</v>
      </c>
      <c r="G17" s="594">
        <f t="shared" si="2"/>
        <v>15400</v>
      </c>
      <c r="H17" s="594">
        <f>'[1]68,05,794 contr.ass.municipia'!P1</f>
        <v>15400</v>
      </c>
      <c r="I17" s="19" t="s">
        <v>95</v>
      </c>
      <c r="O17" s="617" t="s">
        <v>843</v>
      </c>
      <c r="P17" s="594">
        <v>15400</v>
      </c>
      <c r="R17" s="197">
        <v>15400</v>
      </c>
      <c r="S17" s="199"/>
    </row>
    <row r="18" spans="2:22" ht="33.75" customHeight="1" x14ac:dyDescent="0.25">
      <c r="B18" s="616" t="e">
        <f>B58+1</f>
        <v>#REF!</v>
      </c>
      <c r="C18" s="617" t="s">
        <v>844</v>
      </c>
      <c r="D18" s="594">
        <v>4250</v>
      </c>
      <c r="E18" s="595"/>
      <c r="F18" s="594">
        <v>3750</v>
      </c>
      <c r="G18" s="594">
        <f t="shared" si="2"/>
        <v>3750</v>
      </c>
      <c r="H18" s="594">
        <v>3750</v>
      </c>
      <c r="I18" s="19" t="s">
        <v>95</v>
      </c>
      <c r="O18" s="617" t="s">
        <v>844</v>
      </c>
      <c r="P18" s="594">
        <v>3750</v>
      </c>
      <c r="R18" s="197">
        <v>3750</v>
      </c>
      <c r="S18" s="199"/>
    </row>
    <row r="19" spans="2:22" ht="33.75" customHeight="1" x14ac:dyDescent="0.25">
      <c r="B19" s="616" t="e">
        <f>B17+1</f>
        <v>#REF!</v>
      </c>
      <c r="C19" s="617" t="s">
        <v>845</v>
      </c>
      <c r="D19" s="594">
        <v>51.616438356164394</v>
      </c>
      <c r="E19" s="595"/>
      <c r="F19" s="594">
        <v>66.02</v>
      </c>
      <c r="G19" s="594">
        <f t="shared" si="2"/>
        <v>66.02</v>
      </c>
      <c r="H19" s="594">
        <v>66.02</v>
      </c>
      <c r="I19" s="19" t="s">
        <v>95</v>
      </c>
      <c r="O19" s="617" t="s">
        <v>845</v>
      </c>
      <c r="P19" s="594">
        <v>66.02</v>
      </c>
      <c r="R19" s="197">
        <v>66.02</v>
      </c>
      <c r="S19" s="199"/>
    </row>
    <row r="20" spans="2:22" ht="33.75" customHeight="1" x14ac:dyDescent="0.25">
      <c r="B20" s="616"/>
      <c r="C20" s="617" t="s">
        <v>848</v>
      </c>
      <c r="D20" s="594">
        <v>49</v>
      </c>
      <c r="E20" s="595"/>
      <c r="F20" s="594">
        <v>28.73</v>
      </c>
      <c r="G20" s="594">
        <f t="shared" si="2"/>
        <v>28.73</v>
      </c>
      <c r="H20" s="594">
        <f>F20</f>
        <v>28.73</v>
      </c>
      <c r="I20" s="19" t="s">
        <v>95</v>
      </c>
      <c r="O20" s="617" t="s">
        <v>848</v>
      </c>
      <c r="P20" s="594">
        <v>28.73</v>
      </c>
      <c r="R20" s="197">
        <v>28.73</v>
      </c>
      <c r="S20" s="199"/>
    </row>
    <row r="21" spans="2:22" ht="33.75" customHeight="1" x14ac:dyDescent="0.25">
      <c r="B21" s="616"/>
      <c r="C21" s="617" t="s">
        <v>852</v>
      </c>
      <c r="D21" s="594">
        <v>4.72</v>
      </c>
      <c r="E21" s="595">
        <v>0</v>
      </c>
      <c r="F21" s="594">
        <v>4.04</v>
      </c>
      <c r="G21" s="594">
        <f t="shared" si="2"/>
        <v>4.04</v>
      </c>
      <c r="H21" s="594">
        <v>400</v>
      </c>
      <c r="I21" s="19" t="s">
        <v>95</v>
      </c>
      <c r="O21" s="617" t="s">
        <v>852</v>
      </c>
      <c r="P21" s="594">
        <v>400</v>
      </c>
      <c r="R21" s="197">
        <v>400</v>
      </c>
      <c r="S21" s="199"/>
    </row>
    <row r="22" spans="2:22" ht="33.75" customHeight="1" x14ac:dyDescent="0.25">
      <c r="B22" s="616"/>
      <c r="C22" s="617" t="s">
        <v>853</v>
      </c>
      <c r="D22" s="594"/>
      <c r="E22" s="595">
        <v>0</v>
      </c>
      <c r="F22" s="594"/>
      <c r="G22" s="594">
        <f t="shared" si="2"/>
        <v>0</v>
      </c>
      <c r="H22" s="594">
        <v>200</v>
      </c>
      <c r="I22" s="19" t="s">
        <v>95</v>
      </c>
      <c r="O22" s="617" t="s">
        <v>853</v>
      </c>
      <c r="P22" s="594">
        <v>200</v>
      </c>
      <c r="R22" s="197">
        <v>200</v>
      </c>
      <c r="S22" s="199"/>
    </row>
    <row r="23" spans="2:22" s="125" customFormat="1" ht="33.75" customHeight="1" x14ac:dyDescent="0.25">
      <c r="B23" s="616"/>
      <c r="C23" s="617" t="s">
        <v>896</v>
      </c>
      <c r="D23" s="594">
        <v>804</v>
      </c>
      <c r="E23" s="595">
        <v>0</v>
      </c>
      <c r="F23" s="594">
        <v>806</v>
      </c>
      <c r="G23" s="594">
        <f t="shared" si="2"/>
        <v>806</v>
      </c>
      <c r="H23" s="594">
        <f t="shared" ref="H23:H28" si="3">F23</f>
        <v>806</v>
      </c>
      <c r="I23" s="43" t="s">
        <v>95</v>
      </c>
      <c r="O23" s="617" t="s">
        <v>896</v>
      </c>
      <c r="P23" s="594">
        <v>806</v>
      </c>
      <c r="Q23" s="633"/>
      <c r="R23" s="197">
        <v>806</v>
      </c>
      <c r="S23" s="199"/>
      <c r="V23" s="273"/>
    </row>
    <row r="24" spans="2:22" s="125" customFormat="1" ht="33.75" customHeight="1" x14ac:dyDescent="0.25">
      <c r="B24" s="616"/>
      <c r="C24" s="617" t="s">
        <v>897</v>
      </c>
      <c r="D24" s="594">
        <v>563</v>
      </c>
      <c r="E24" s="595">
        <v>0</v>
      </c>
      <c r="F24" s="594">
        <v>564.29999999999995</v>
      </c>
      <c r="G24" s="594">
        <f t="shared" si="2"/>
        <v>564.29999999999995</v>
      </c>
      <c r="H24" s="594">
        <f t="shared" si="3"/>
        <v>564.29999999999995</v>
      </c>
      <c r="I24" s="43" t="s">
        <v>95</v>
      </c>
      <c r="O24" s="617" t="s">
        <v>897</v>
      </c>
      <c r="P24" s="594">
        <v>564.29999999999995</v>
      </c>
      <c r="Q24" s="633"/>
      <c r="R24" s="197">
        <v>564.29999999999995</v>
      </c>
      <c r="S24" s="199"/>
      <c r="V24" s="273"/>
    </row>
    <row r="25" spans="2:22" s="125" customFormat="1" ht="33.75" customHeight="1" x14ac:dyDescent="0.25">
      <c r="B25" s="616"/>
      <c r="C25" s="617" t="s">
        <v>894</v>
      </c>
      <c r="D25" s="594">
        <v>5380</v>
      </c>
      <c r="E25" s="595">
        <v>0</v>
      </c>
      <c r="F25" s="594">
        <v>5395</v>
      </c>
      <c r="G25" s="594">
        <f t="shared" si="2"/>
        <v>5395</v>
      </c>
      <c r="H25" s="594">
        <f t="shared" si="3"/>
        <v>5395</v>
      </c>
      <c r="I25" s="43" t="s">
        <v>95</v>
      </c>
      <c r="O25" s="617" t="s">
        <v>894</v>
      </c>
      <c r="P25" s="594">
        <v>5395</v>
      </c>
      <c r="Q25" s="633"/>
      <c r="R25" s="197">
        <v>5395</v>
      </c>
      <c r="S25" s="199"/>
      <c r="V25" s="273"/>
    </row>
    <row r="26" spans="2:22" s="125" customFormat="1" ht="33.75" customHeight="1" x14ac:dyDescent="0.25">
      <c r="B26" s="616"/>
      <c r="C26" s="617" t="s">
        <v>904</v>
      </c>
      <c r="D26" s="594">
        <v>225</v>
      </c>
      <c r="E26" s="595">
        <v>0</v>
      </c>
      <c r="F26" s="594">
        <v>500</v>
      </c>
      <c r="G26" s="594">
        <f t="shared" si="2"/>
        <v>500</v>
      </c>
      <c r="H26" s="594">
        <f t="shared" si="3"/>
        <v>500</v>
      </c>
      <c r="I26" s="43" t="s">
        <v>95</v>
      </c>
      <c r="O26" s="617" t="s">
        <v>904</v>
      </c>
      <c r="P26" s="594">
        <v>500</v>
      </c>
      <c r="Q26" s="633"/>
      <c r="R26" s="197">
        <v>500</v>
      </c>
      <c r="S26" s="199"/>
      <c r="V26" s="273"/>
    </row>
    <row r="27" spans="2:22" s="125" customFormat="1" ht="33.75" customHeight="1" x14ac:dyDescent="0.25">
      <c r="B27" s="616"/>
      <c r="C27" s="617" t="s">
        <v>907</v>
      </c>
      <c r="D27" s="594">
        <v>154</v>
      </c>
      <c r="E27" s="595">
        <v>0</v>
      </c>
      <c r="F27" s="594">
        <v>154.91999999999999</v>
      </c>
      <c r="G27" s="594">
        <f t="shared" si="2"/>
        <v>154.91999999999999</v>
      </c>
      <c r="H27" s="594">
        <f t="shared" si="3"/>
        <v>154.91999999999999</v>
      </c>
      <c r="I27" s="43" t="s">
        <v>95</v>
      </c>
      <c r="O27" s="617" t="s">
        <v>907</v>
      </c>
      <c r="P27" s="594">
        <v>154.91999999999999</v>
      </c>
      <c r="Q27" s="633"/>
      <c r="R27" s="197">
        <v>154.91999999999999</v>
      </c>
      <c r="S27" s="199"/>
      <c r="V27" s="273"/>
    </row>
    <row r="28" spans="2:22" s="125" customFormat="1" ht="33.75" customHeight="1" x14ac:dyDescent="0.25">
      <c r="B28" s="616"/>
      <c r="C28" s="617" t="s">
        <v>905</v>
      </c>
      <c r="D28" s="594">
        <v>2992</v>
      </c>
      <c r="E28" s="595">
        <v>0</v>
      </c>
      <c r="F28" s="594">
        <v>3000</v>
      </c>
      <c r="G28" s="594">
        <f t="shared" si="2"/>
        <v>3000</v>
      </c>
      <c r="H28" s="594">
        <f t="shared" si="3"/>
        <v>3000</v>
      </c>
      <c r="I28" s="43" t="s">
        <v>95</v>
      </c>
      <c r="N28" s="624">
        <f>SUM(H16:H28)</f>
        <v>30914.969999999998</v>
      </c>
      <c r="O28" s="617" t="s">
        <v>905</v>
      </c>
      <c r="P28" s="594">
        <v>3000</v>
      </c>
      <c r="Q28" s="631">
        <f>SUM(P16:P28)</f>
        <v>30914.969999999998</v>
      </c>
      <c r="R28" s="197">
        <v>3000</v>
      </c>
      <c r="S28" s="199"/>
      <c r="V28" s="273"/>
    </row>
    <row r="29" spans="2:22" s="125" customFormat="1" ht="33.75" customHeight="1" x14ac:dyDescent="0.25">
      <c r="B29" s="231"/>
      <c r="C29" s="196"/>
      <c r="D29" s="197"/>
      <c r="E29" s="198"/>
      <c r="F29" s="197"/>
      <c r="G29" s="197"/>
      <c r="H29" s="197"/>
      <c r="I29" s="43"/>
      <c r="O29" s="196"/>
      <c r="P29" s="197"/>
      <c r="Q29" s="633"/>
      <c r="R29" s="197"/>
      <c r="S29" s="199"/>
      <c r="V29" s="273"/>
    </row>
    <row r="30" spans="2:22" ht="33.75" customHeight="1" x14ac:dyDescent="0.25">
      <c r="B30" s="231"/>
      <c r="C30" s="255" t="s">
        <v>879</v>
      </c>
      <c r="D30" s="218"/>
      <c r="E30" s="227"/>
      <c r="F30" s="218"/>
      <c r="G30" s="197"/>
      <c r="H30" s="256">
        <f>42000/12*9</f>
        <v>31500</v>
      </c>
      <c r="I30" s="257"/>
      <c r="J30" s="257"/>
      <c r="K30" s="257"/>
      <c r="L30" s="257"/>
      <c r="M30" s="257"/>
      <c r="N30" s="257"/>
      <c r="O30" s="255" t="s">
        <v>879</v>
      </c>
      <c r="P30" s="256">
        <v>39000</v>
      </c>
      <c r="R30" s="342"/>
      <c r="S30" s="343"/>
    </row>
    <row r="31" spans="2:22" ht="96" customHeight="1" x14ac:dyDescent="0.25">
      <c r="B31" s="231"/>
      <c r="C31" s="196"/>
      <c r="D31" s="197"/>
      <c r="E31" s="198"/>
      <c r="F31" s="197"/>
      <c r="G31" s="197"/>
      <c r="H31" s="197"/>
      <c r="I31" s="19"/>
      <c r="N31" s="625"/>
      <c r="O31" s="196"/>
      <c r="P31" s="618"/>
      <c r="R31" s="619"/>
      <c r="S31" s="199"/>
    </row>
    <row r="32" spans="2:22" ht="33.75" customHeight="1" x14ac:dyDescent="0.25">
      <c r="B32" s="231" t="e">
        <f>#REF!+1</f>
        <v>#REF!</v>
      </c>
      <c r="C32" s="196" t="s">
        <v>838</v>
      </c>
      <c r="D32" s="197">
        <v>960</v>
      </c>
      <c r="E32" s="198">
        <v>800</v>
      </c>
      <c r="F32" s="197">
        <v>960</v>
      </c>
      <c r="G32" s="197">
        <f>F32-E32</f>
        <v>160</v>
      </c>
      <c r="H32" s="197">
        <f>'[1]68,05,705 vigilanza tributi'!P1</f>
        <v>960</v>
      </c>
      <c r="I32" s="19" t="s">
        <v>95</v>
      </c>
      <c r="O32" s="196" t="s">
        <v>838</v>
      </c>
      <c r="P32" s="197">
        <v>960</v>
      </c>
      <c r="R32" s="197">
        <v>960</v>
      </c>
      <c r="S32" s="199"/>
    </row>
    <row r="33" spans="2:19" ht="33.75" customHeight="1" x14ac:dyDescent="0.25">
      <c r="B33" s="231"/>
      <c r="C33" s="196"/>
      <c r="D33" s="197"/>
      <c r="E33" s="198"/>
      <c r="F33" s="197"/>
      <c r="G33" s="197"/>
      <c r="H33" s="197"/>
      <c r="I33" s="19"/>
      <c r="O33" s="196"/>
      <c r="P33" s="197"/>
      <c r="R33" s="197"/>
      <c r="S33" s="199"/>
    </row>
    <row r="34" spans="2:19" ht="33.75" customHeight="1" x14ac:dyDescent="0.25">
      <c r="B34" s="231" t="e">
        <f>B37+1</f>
        <v>#REF!</v>
      </c>
      <c r="C34" s="196" t="s">
        <v>182</v>
      </c>
      <c r="D34" s="197">
        <v>618</v>
      </c>
      <c r="E34" s="198">
        <v>1236</v>
      </c>
      <c r="F34" s="197">
        <v>618</v>
      </c>
      <c r="G34" s="197">
        <f>F34-E34</f>
        <v>-618</v>
      </c>
      <c r="H34" s="197">
        <v>0</v>
      </c>
      <c r="I34" t="s">
        <v>846</v>
      </c>
      <c r="O34" s="196" t="s">
        <v>182</v>
      </c>
      <c r="P34" s="197">
        <v>0</v>
      </c>
      <c r="R34" s="197">
        <v>0</v>
      </c>
      <c r="S34" s="199"/>
    </row>
    <row r="35" spans="2:19" ht="33.75" customHeight="1" x14ac:dyDescent="0.25">
      <c r="B35" s="231"/>
      <c r="C35" s="196"/>
      <c r="D35" s="197"/>
      <c r="E35" s="198"/>
      <c r="F35" s="197"/>
      <c r="G35" s="197"/>
      <c r="H35" s="197"/>
      <c r="O35" s="196"/>
      <c r="P35" s="197"/>
      <c r="R35" s="197"/>
      <c r="S35" s="199"/>
    </row>
    <row r="36" spans="2:19" ht="33.75" customHeight="1" x14ac:dyDescent="0.25">
      <c r="B36" s="616" t="e">
        <f>B16+1</f>
        <v>#REF!</v>
      </c>
      <c r="C36" s="617" t="s">
        <v>847</v>
      </c>
      <c r="D36" s="594">
        <v>11829.839999999998</v>
      </c>
      <c r="E36" s="595">
        <v>7591</v>
      </c>
      <c r="F36" s="594">
        <v>11746.15</v>
      </c>
      <c r="G36" s="594">
        <f>F36-E36</f>
        <v>4155.1499999999996</v>
      </c>
      <c r="H36" s="594">
        <f>F36</f>
        <v>11746.15</v>
      </c>
      <c r="I36" s="19" t="s">
        <v>95</v>
      </c>
      <c r="O36" s="617" t="s">
        <v>847</v>
      </c>
      <c r="P36" s="594">
        <v>11746.15</v>
      </c>
      <c r="R36" s="197">
        <v>11746.15</v>
      </c>
      <c r="S36" s="199"/>
    </row>
    <row r="37" spans="2:19" ht="33.75" customHeight="1" x14ac:dyDescent="0.25">
      <c r="B37" s="616" t="e">
        <f>#REF!+1</f>
        <v>#REF!</v>
      </c>
      <c r="C37" s="617" t="s">
        <v>190</v>
      </c>
      <c r="D37" s="594">
        <v>360.13</v>
      </c>
      <c r="E37" s="595">
        <v>198</v>
      </c>
      <c r="F37" s="594">
        <v>360.13</v>
      </c>
      <c r="G37" s="594">
        <f>F37-E37</f>
        <v>162.13</v>
      </c>
      <c r="H37" s="594">
        <v>300</v>
      </c>
      <c r="I37" s="19" t="s">
        <v>95</v>
      </c>
      <c r="N37" s="624">
        <f>SUM(H36:H37)</f>
        <v>12046.15</v>
      </c>
      <c r="O37" s="617" t="s">
        <v>190</v>
      </c>
      <c r="P37" s="594">
        <v>300</v>
      </c>
      <c r="Q37" s="631">
        <f>SUM(P36:P37)</f>
        <v>12046.15</v>
      </c>
      <c r="R37" s="197">
        <v>300</v>
      </c>
      <c r="S37" s="199"/>
    </row>
    <row r="38" spans="2:19" ht="33.75" customHeight="1" x14ac:dyDescent="0.25">
      <c r="B38" s="231"/>
      <c r="C38" s="196"/>
      <c r="D38" s="197"/>
      <c r="E38" s="198"/>
      <c r="F38" s="197"/>
      <c r="G38" s="197"/>
      <c r="H38" s="197"/>
      <c r="I38" s="19"/>
      <c r="O38" s="196"/>
      <c r="P38" s="197"/>
      <c r="R38" s="197"/>
      <c r="S38" s="199"/>
    </row>
    <row r="39" spans="2:19" ht="33.75" customHeight="1" x14ac:dyDescent="0.25">
      <c r="B39" s="231"/>
      <c r="C39" s="196" t="s">
        <v>851</v>
      </c>
      <c r="D39" s="197">
        <v>5460.22</v>
      </c>
      <c r="E39" s="198">
        <v>0</v>
      </c>
      <c r="F39" s="197">
        <v>2730.11</v>
      </c>
      <c r="G39" s="197">
        <f>F39-E39</f>
        <v>2730.11</v>
      </c>
      <c r="H39" s="197">
        <v>3000</v>
      </c>
      <c r="I39" s="19" t="s">
        <v>95</v>
      </c>
      <c r="O39" s="196" t="s">
        <v>851</v>
      </c>
      <c r="P39" s="197">
        <v>3000</v>
      </c>
      <c r="R39" s="197">
        <v>3000</v>
      </c>
      <c r="S39" s="199"/>
    </row>
    <row r="40" spans="2:19" ht="33.75" customHeight="1" x14ac:dyDescent="0.25">
      <c r="B40" s="231"/>
      <c r="C40" s="196"/>
      <c r="D40" s="197"/>
      <c r="E40" s="198"/>
      <c r="F40" s="197"/>
      <c r="G40" s="197"/>
      <c r="H40" s="197"/>
      <c r="I40" s="19"/>
      <c r="O40" s="196"/>
      <c r="P40" s="197"/>
      <c r="R40" s="197"/>
      <c r="S40" s="199"/>
    </row>
    <row r="41" spans="2:19" ht="33.75" customHeight="1" x14ac:dyDescent="0.25">
      <c r="B41" s="616" t="e">
        <f>B6+1</f>
        <v>#REF!</v>
      </c>
      <c r="C41" s="617" t="s">
        <v>850</v>
      </c>
      <c r="D41" s="594">
        <v>64.28</v>
      </c>
      <c r="E41" s="595">
        <v>0</v>
      </c>
      <c r="F41" s="594">
        <v>62.8</v>
      </c>
      <c r="G41" s="594">
        <f t="shared" ref="G41:G48" si="4">F41-E41</f>
        <v>62.8</v>
      </c>
      <c r="H41" s="594">
        <v>500</v>
      </c>
      <c r="I41" s="19" t="s">
        <v>95</v>
      </c>
      <c r="O41" s="617" t="s">
        <v>850</v>
      </c>
      <c r="P41" s="594">
        <v>500</v>
      </c>
      <c r="R41" s="197">
        <v>500</v>
      </c>
      <c r="S41" s="199"/>
    </row>
    <row r="42" spans="2:19" ht="33.75" customHeight="1" x14ac:dyDescent="0.25">
      <c r="B42" s="616"/>
      <c r="C42" s="617" t="s">
        <v>854</v>
      </c>
      <c r="D42" s="594"/>
      <c r="E42" s="595">
        <v>0</v>
      </c>
      <c r="F42" s="594">
        <v>1229.1600000000001</v>
      </c>
      <c r="G42" s="594">
        <f t="shared" si="4"/>
        <v>1229.1600000000001</v>
      </c>
      <c r="H42" s="594">
        <v>5000</v>
      </c>
      <c r="I42" s="19"/>
      <c r="O42" s="617" t="s">
        <v>854</v>
      </c>
      <c r="P42" s="594">
        <v>5000</v>
      </c>
      <c r="R42" s="197">
        <v>5000</v>
      </c>
      <c r="S42" s="199"/>
    </row>
    <row r="43" spans="2:19" ht="33.75" customHeight="1" x14ac:dyDescent="0.25">
      <c r="B43" s="616" t="e">
        <f>#REF!+1</f>
        <v>#REF!</v>
      </c>
      <c r="C43" s="617" t="s">
        <v>860</v>
      </c>
      <c r="D43" s="594">
        <v>3393.25</v>
      </c>
      <c r="E43" s="595"/>
      <c r="F43" s="594">
        <v>7393.25</v>
      </c>
      <c r="G43" s="594">
        <f t="shared" si="4"/>
        <v>7393.25</v>
      </c>
      <c r="H43" s="594">
        <v>190000</v>
      </c>
      <c r="I43" s="19" t="s">
        <v>95</v>
      </c>
      <c r="O43" s="617" t="s">
        <v>860</v>
      </c>
      <c r="P43" s="594"/>
      <c r="R43" s="337"/>
      <c r="S43" s="339"/>
    </row>
    <row r="44" spans="2:19" ht="55.5" customHeight="1" x14ac:dyDescent="0.25">
      <c r="B44" s="616" t="e">
        <f>B63+1</f>
        <v>#REF!</v>
      </c>
      <c r="C44" s="627" t="s">
        <v>861</v>
      </c>
      <c r="D44" s="594">
        <v>67857</v>
      </c>
      <c r="E44" s="595"/>
      <c r="F44" s="594"/>
      <c r="G44" s="594">
        <f t="shared" si="4"/>
        <v>0</v>
      </c>
      <c r="H44" s="594"/>
      <c r="I44" s="19" t="s">
        <v>95</v>
      </c>
      <c r="O44" s="627" t="s">
        <v>861</v>
      </c>
      <c r="P44" s="594"/>
      <c r="R44" s="197"/>
      <c r="S44" s="199"/>
    </row>
    <row r="45" spans="2:19" ht="33.75" customHeight="1" x14ac:dyDescent="0.25">
      <c r="B45" s="616" t="e">
        <f>B64+1</f>
        <v>#REF!</v>
      </c>
      <c r="C45" s="617" t="s">
        <v>862</v>
      </c>
      <c r="D45" s="594"/>
      <c r="E45" s="595"/>
      <c r="F45" s="594"/>
      <c r="G45" s="594">
        <f t="shared" si="4"/>
        <v>0</v>
      </c>
      <c r="H45" s="594"/>
      <c r="I45" s="19" t="s">
        <v>95</v>
      </c>
      <c r="O45" s="617" t="s">
        <v>862</v>
      </c>
      <c r="P45" s="594"/>
      <c r="R45" s="197"/>
      <c r="S45" s="199"/>
    </row>
    <row r="46" spans="2:19" ht="33.75" customHeight="1" x14ac:dyDescent="0.25">
      <c r="B46" s="616" t="e">
        <f>B48+1</f>
        <v>#REF!</v>
      </c>
      <c r="C46" s="617" t="s">
        <v>863</v>
      </c>
      <c r="D46" s="594">
        <v>6944.9000000000005</v>
      </c>
      <c r="E46" s="595"/>
      <c r="F46" s="594">
        <v>17598.939999999999</v>
      </c>
      <c r="G46" s="594">
        <f t="shared" si="4"/>
        <v>17598.939999999999</v>
      </c>
      <c r="H46" s="594">
        <v>50000</v>
      </c>
      <c r="I46" s="241" t="s">
        <v>41</v>
      </c>
      <c r="O46" s="617" t="s">
        <v>863</v>
      </c>
      <c r="P46" s="594">
        <v>50000</v>
      </c>
      <c r="R46" s="337">
        <v>50000</v>
      </c>
      <c r="S46" s="339"/>
    </row>
    <row r="47" spans="2:19" ht="33.75" customHeight="1" x14ac:dyDescent="0.25">
      <c r="B47" s="616"/>
      <c r="C47" s="617" t="s">
        <v>855</v>
      </c>
      <c r="D47" s="594">
        <v>20157.25</v>
      </c>
      <c r="E47" s="595">
        <v>0</v>
      </c>
      <c r="F47" s="594">
        <v>17472.57</v>
      </c>
      <c r="G47" s="594">
        <f t="shared" si="4"/>
        <v>17472.57</v>
      </c>
      <c r="H47" s="594">
        <v>34000</v>
      </c>
      <c r="I47" s="19" t="s">
        <v>95</v>
      </c>
      <c r="O47" s="617" t="s">
        <v>855</v>
      </c>
      <c r="P47" s="594">
        <v>34000</v>
      </c>
      <c r="R47" s="197">
        <v>34000</v>
      </c>
      <c r="S47" s="199"/>
    </row>
    <row r="48" spans="2:19" ht="33.75" customHeight="1" x14ac:dyDescent="0.25">
      <c r="B48" s="616" t="e">
        <f>'trib ins.def. nei lavori 22-24'!B5+1</f>
        <v>#REF!</v>
      </c>
      <c r="C48" s="617" t="s">
        <v>200</v>
      </c>
      <c r="D48" s="594">
        <v>1527.0500000000002</v>
      </c>
      <c r="E48" s="595">
        <v>215</v>
      </c>
      <c r="F48" s="594">
        <v>2390.85</v>
      </c>
      <c r="G48" s="594">
        <f t="shared" si="4"/>
        <v>2175.85</v>
      </c>
      <c r="H48" s="594">
        <v>3000</v>
      </c>
      <c r="I48" s="19" t="s">
        <v>95</v>
      </c>
      <c r="N48" s="624">
        <f>SUM(H41:H48)</f>
        <v>282500</v>
      </c>
      <c r="O48" s="617" t="s">
        <v>200</v>
      </c>
      <c r="P48" s="594">
        <v>3000</v>
      </c>
      <c r="Q48" s="631">
        <f>SUM(P41:P48)</f>
        <v>92500</v>
      </c>
      <c r="R48" s="197">
        <v>3000</v>
      </c>
      <c r="S48" s="199"/>
    </row>
    <row r="49" spans="2:20" ht="33.75" customHeight="1" x14ac:dyDescent="0.25">
      <c r="B49" s="231"/>
      <c r="C49" s="196"/>
      <c r="D49" s="197"/>
      <c r="E49" s="198"/>
      <c r="F49" s="197"/>
      <c r="G49" s="197"/>
      <c r="H49" s="197"/>
      <c r="I49" s="19"/>
      <c r="O49" s="196"/>
      <c r="P49" s="197"/>
      <c r="R49" s="197"/>
      <c r="S49" s="199"/>
    </row>
    <row r="50" spans="2:20" ht="33.75" customHeight="1" x14ac:dyDescent="0.25">
      <c r="B50" s="231" t="e">
        <f>B74+1</f>
        <v>#REF!</v>
      </c>
      <c r="C50" s="196" t="s">
        <v>191</v>
      </c>
      <c r="D50" s="197">
        <v>480</v>
      </c>
      <c r="E50" s="198">
        <v>0</v>
      </c>
      <c r="F50" s="197">
        <v>480</v>
      </c>
      <c r="G50" s="197">
        <f>F50-E50</f>
        <v>480</v>
      </c>
      <c r="H50" s="218">
        <v>6000</v>
      </c>
      <c r="I50" s="19" t="s">
        <v>95</v>
      </c>
      <c r="O50" s="196" t="s">
        <v>191</v>
      </c>
      <c r="P50" s="218">
        <v>6000</v>
      </c>
      <c r="R50" s="218">
        <v>6000</v>
      </c>
      <c r="S50" s="229"/>
    </row>
    <row r="51" spans="2:20" ht="33.75" customHeight="1" x14ac:dyDescent="0.25">
      <c r="B51" s="231"/>
      <c r="C51" s="196"/>
      <c r="D51" s="197"/>
      <c r="E51" s="198"/>
      <c r="F51" s="197"/>
      <c r="G51" s="197"/>
      <c r="H51" s="218"/>
      <c r="I51" s="19"/>
      <c r="O51" s="196"/>
      <c r="P51" s="218"/>
      <c r="R51" s="218"/>
      <c r="S51" s="229"/>
    </row>
    <row r="52" spans="2:20" ht="33.75" customHeight="1" x14ac:dyDescent="0.25">
      <c r="B52" s="616"/>
      <c r="C52" s="617" t="s">
        <v>856</v>
      </c>
      <c r="D52" s="594">
        <v>7600</v>
      </c>
      <c r="E52" s="595">
        <v>0</v>
      </c>
      <c r="F52" s="594">
        <v>9400</v>
      </c>
      <c r="G52" s="594">
        <f t="shared" ref="G52:G72" si="5">F52-E52</f>
        <v>9400</v>
      </c>
      <c r="H52" s="594">
        <v>12000</v>
      </c>
      <c r="I52" s="19" t="s">
        <v>95</v>
      </c>
      <c r="O52" s="617" t="s">
        <v>856</v>
      </c>
      <c r="P52" s="594">
        <v>12000</v>
      </c>
      <c r="R52" s="197">
        <v>12000</v>
      </c>
      <c r="S52" s="199"/>
    </row>
    <row r="53" spans="2:20" ht="33.75" customHeight="1" x14ac:dyDescent="0.25">
      <c r="B53" s="616"/>
      <c r="C53" s="617" t="s">
        <v>857</v>
      </c>
      <c r="D53" s="594">
        <v>49250</v>
      </c>
      <c r="E53" s="595">
        <v>0</v>
      </c>
      <c r="F53" s="594">
        <v>49250.01</v>
      </c>
      <c r="G53" s="594">
        <f t="shared" si="5"/>
        <v>49250.01</v>
      </c>
      <c r="H53" s="594">
        <v>118500</v>
      </c>
      <c r="I53" s="19" t="s">
        <v>95</v>
      </c>
      <c r="O53" s="617" t="s">
        <v>857</v>
      </c>
      <c r="P53" s="594"/>
      <c r="R53" s="337"/>
      <c r="S53" s="199"/>
    </row>
    <row r="54" spans="2:20" ht="33.75" customHeight="1" x14ac:dyDescent="0.25">
      <c r="B54" s="616" t="e">
        <f>B10+1</f>
        <v>#REF!</v>
      </c>
      <c r="C54" s="617" t="s">
        <v>195</v>
      </c>
      <c r="D54" s="594">
        <v>0</v>
      </c>
      <c r="E54" s="595">
        <v>0</v>
      </c>
      <c r="F54" s="594">
        <v>0</v>
      </c>
      <c r="G54" s="594">
        <f t="shared" si="5"/>
        <v>0</v>
      </c>
      <c r="H54" s="594">
        <f>F54</f>
        <v>0</v>
      </c>
      <c r="I54" s="19" t="s">
        <v>95</v>
      </c>
      <c r="O54" s="617" t="s">
        <v>195</v>
      </c>
      <c r="P54" s="594">
        <v>0</v>
      </c>
      <c r="R54" s="197">
        <f>M54</f>
        <v>0</v>
      </c>
      <c r="S54" s="199"/>
    </row>
    <row r="55" spans="2:20" ht="33.75" customHeight="1" x14ac:dyDescent="0.25">
      <c r="B55" s="616" t="e">
        <f>B11+1</f>
        <v>#REF!</v>
      </c>
      <c r="C55" s="617" t="s">
        <v>858</v>
      </c>
      <c r="D55" s="594">
        <v>0</v>
      </c>
      <c r="E55" s="595">
        <v>79075</v>
      </c>
      <c r="F55" s="594">
        <v>0</v>
      </c>
      <c r="G55" s="594">
        <f t="shared" si="5"/>
        <v>-79075</v>
      </c>
      <c r="H55" s="594">
        <f>F55</f>
        <v>0</v>
      </c>
      <c r="I55" s="19" t="s">
        <v>95</v>
      </c>
      <c r="O55" s="617" t="s">
        <v>858</v>
      </c>
      <c r="P55" s="594">
        <v>0</v>
      </c>
      <c r="R55" s="197">
        <f>M55</f>
        <v>0</v>
      </c>
      <c r="S55" s="199"/>
    </row>
    <row r="56" spans="2:20" ht="33.75" customHeight="1" x14ac:dyDescent="0.25">
      <c r="B56" s="616" t="e">
        <f>'trib ins.def. nei lavori 22-24'!B2+1</f>
        <v>#REF!</v>
      </c>
      <c r="C56" s="617" t="s">
        <v>196</v>
      </c>
      <c r="D56" s="594">
        <v>0</v>
      </c>
      <c r="E56" s="595">
        <v>0</v>
      </c>
      <c r="F56" s="594">
        <v>0</v>
      </c>
      <c r="G56" s="594">
        <f t="shared" si="5"/>
        <v>0</v>
      </c>
      <c r="H56" s="594">
        <f>F56</f>
        <v>0</v>
      </c>
      <c r="I56" s="19" t="s">
        <v>95</v>
      </c>
      <c r="O56" s="617" t="s">
        <v>196</v>
      </c>
      <c r="P56" s="594">
        <v>0</v>
      </c>
      <c r="R56" s="197">
        <f>M56</f>
        <v>0</v>
      </c>
      <c r="S56" s="199"/>
    </row>
    <row r="57" spans="2:20" ht="33.75" customHeight="1" x14ac:dyDescent="0.25">
      <c r="B57" s="616" t="e">
        <f>B13+1</f>
        <v>#REF!</v>
      </c>
      <c r="C57" s="617" t="s">
        <v>859</v>
      </c>
      <c r="D57" s="594">
        <v>678.5</v>
      </c>
      <c r="E57" s="595">
        <v>196</v>
      </c>
      <c r="F57" s="594">
        <v>998.5</v>
      </c>
      <c r="G57" s="594">
        <f t="shared" si="5"/>
        <v>802.5</v>
      </c>
      <c r="H57" s="594">
        <f>F57</f>
        <v>998.5</v>
      </c>
      <c r="I57" s="19" t="s">
        <v>95</v>
      </c>
      <c r="O57" s="617" t="s">
        <v>859</v>
      </c>
      <c r="P57" s="594">
        <v>998.5</v>
      </c>
      <c r="R57" s="197">
        <f>P57</f>
        <v>998.5</v>
      </c>
      <c r="S57" s="199"/>
    </row>
    <row r="58" spans="2:20" ht="33.75" customHeight="1" x14ac:dyDescent="0.25">
      <c r="B58" s="616" t="e">
        <f>'trib ins.def. nei lavori 22-24'!B6+1</f>
        <v>#REF!</v>
      </c>
      <c r="C58" s="617" t="s">
        <v>181</v>
      </c>
      <c r="D58" s="594">
        <v>6430.12</v>
      </c>
      <c r="E58" s="595">
        <v>4974</v>
      </c>
      <c r="F58" s="594">
        <v>2666.12</v>
      </c>
      <c r="G58" s="594">
        <f t="shared" si="5"/>
        <v>-2307.88</v>
      </c>
      <c r="H58" s="594">
        <f>F58</f>
        <v>2666.12</v>
      </c>
      <c r="I58" s="19" t="s">
        <v>95</v>
      </c>
      <c r="O58" s="617" t="s">
        <v>181</v>
      </c>
      <c r="P58" s="594">
        <v>2666.12</v>
      </c>
      <c r="R58" s="197">
        <f>P58</f>
        <v>2666.12</v>
      </c>
      <c r="S58" s="199"/>
    </row>
    <row r="59" spans="2:20" ht="33.75" customHeight="1" x14ac:dyDescent="0.25">
      <c r="B59" s="616" t="e">
        <f>B44+1</f>
        <v>#REF!</v>
      </c>
      <c r="C59" s="617" t="s">
        <v>864</v>
      </c>
      <c r="D59" s="594">
        <v>56730.1</v>
      </c>
      <c r="E59" s="595"/>
      <c r="F59" s="594"/>
      <c r="G59" s="594">
        <f t="shared" si="5"/>
        <v>0</v>
      </c>
      <c r="H59" s="594"/>
      <c r="I59" s="241" t="s">
        <v>41</v>
      </c>
      <c r="O59" s="617" t="s">
        <v>864</v>
      </c>
      <c r="P59" s="594"/>
      <c r="R59" s="197"/>
      <c r="S59" s="199"/>
    </row>
    <row r="60" spans="2:20" ht="33.75" customHeight="1" x14ac:dyDescent="0.25">
      <c r="B60" s="616"/>
      <c r="C60" s="617" t="s">
        <v>865</v>
      </c>
      <c r="D60" s="594">
        <v>4250</v>
      </c>
      <c r="E60" s="595"/>
      <c r="F60" s="594">
        <v>31195.15</v>
      </c>
      <c r="G60" s="594">
        <f t="shared" si="5"/>
        <v>31195.15</v>
      </c>
      <c r="H60" s="594">
        <v>10000</v>
      </c>
      <c r="I60" s="19" t="s">
        <v>95</v>
      </c>
      <c r="O60" s="617" t="s">
        <v>865</v>
      </c>
      <c r="P60" s="594">
        <v>10000</v>
      </c>
      <c r="R60" s="197">
        <v>10000</v>
      </c>
      <c r="S60" s="199"/>
    </row>
    <row r="61" spans="2:20" ht="33.75" customHeight="1" x14ac:dyDescent="0.25">
      <c r="B61" s="616" t="e">
        <f>B67+1</f>
        <v>#REF!</v>
      </c>
      <c r="C61" s="627" t="s">
        <v>866</v>
      </c>
      <c r="D61" s="594">
        <v>2800</v>
      </c>
      <c r="E61" s="595"/>
      <c r="F61" s="594"/>
      <c r="G61" s="594">
        <f t="shared" si="5"/>
        <v>0</v>
      </c>
      <c r="H61" s="594">
        <v>30000</v>
      </c>
      <c r="I61" s="19" t="s">
        <v>95</v>
      </c>
      <c r="O61" s="627" t="s">
        <v>866</v>
      </c>
      <c r="P61" s="594">
        <v>30000</v>
      </c>
      <c r="R61" s="337">
        <v>30000</v>
      </c>
      <c r="S61" s="199"/>
    </row>
    <row r="62" spans="2:20" ht="33.75" customHeight="1" x14ac:dyDescent="0.25">
      <c r="B62" s="616" t="e">
        <f>B69+1</f>
        <v>#REF!</v>
      </c>
      <c r="C62" s="617" t="s">
        <v>867</v>
      </c>
      <c r="D62" s="594">
        <v>19900</v>
      </c>
      <c r="E62" s="595"/>
      <c r="F62" s="594"/>
      <c r="G62" s="594">
        <f t="shared" si="5"/>
        <v>0</v>
      </c>
      <c r="H62" s="594"/>
      <c r="I62" s="19" t="s">
        <v>95</v>
      </c>
      <c r="O62" s="617" t="s">
        <v>867</v>
      </c>
      <c r="P62" s="594"/>
      <c r="R62" s="337"/>
      <c r="S62" s="199"/>
      <c r="T62" t="s">
        <v>868</v>
      </c>
    </row>
    <row r="63" spans="2:20" ht="33.75" customHeight="1" x14ac:dyDescent="0.25">
      <c r="B63" s="616" t="e">
        <f>B68+1</f>
        <v>#REF!</v>
      </c>
      <c r="C63" s="627" t="s">
        <v>869</v>
      </c>
      <c r="D63" s="594">
        <v>3900</v>
      </c>
      <c r="E63" s="595"/>
      <c r="F63" s="594"/>
      <c r="G63" s="594">
        <f t="shared" si="5"/>
        <v>0</v>
      </c>
      <c r="H63" s="594">
        <v>49000</v>
      </c>
      <c r="I63" s="19" t="s">
        <v>95</v>
      </c>
      <c r="O63" s="627" t="s">
        <v>869</v>
      </c>
      <c r="P63" s="594">
        <v>49000</v>
      </c>
      <c r="R63" s="337">
        <v>49000</v>
      </c>
      <c r="S63" s="199"/>
    </row>
    <row r="64" spans="2:20" ht="33.75" customHeight="1" x14ac:dyDescent="0.25">
      <c r="B64" s="616" t="e">
        <f>B71+1</f>
        <v>#REF!</v>
      </c>
      <c r="C64" s="627" t="s">
        <v>870</v>
      </c>
      <c r="D64" s="594">
        <v>1900</v>
      </c>
      <c r="E64" s="595"/>
      <c r="F64" s="594"/>
      <c r="G64" s="594">
        <f t="shared" si="5"/>
        <v>0</v>
      </c>
      <c r="H64" s="594">
        <v>39800</v>
      </c>
      <c r="I64" s="19" t="s">
        <v>95</v>
      </c>
      <c r="O64" s="627" t="s">
        <v>870</v>
      </c>
      <c r="P64" s="594">
        <v>39800</v>
      </c>
      <c r="R64" s="337">
        <v>39800</v>
      </c>
      <c r="S64" s="199"/>
    </row>
    <row r="65" spans="1:22" ht="33.75" customHeight="1" x14ac:dyDescent="0.25">
      <c r="B65" s="616" t="e">
        <f>B61+1</f>
        <v>#REF!</v>
      </c>
      <c r="C65" s="617" t="s">
        <v>871</v>
      </c>
      <c r="D65" s="594">
        <v>19500</v>
      </c>
      <c r="E65" s="595"/>
      <c r="F65" s="594"/>
      <c r="G65" s="594">
        <f t="shared" si="5"/>
        <v>0</v>
      </c>
      <c r="H65" s="594"/>
      <c r="I65" s="19" t="s">
        <v>95</v>
      </c>
      <c r="O65" s="617" t="s">
        <v>871</v>
      </c>
      <c r="P65" s="594"/>
      <c r="R65" s="197"/>
      <c r="S65" s="199"/>
    </row>
    <row r="66" spans="1:22" ht="33.75" customHeight="1" x14ac:dyDescent="0.25">
      <c r="B66" s="616" t="e">
        <f>B62+1</f>
        <v>#REF!</v>
      </c>
      <c r="C66" s="617" t="s">
        <v>872</v>
      </c>
      <c r="D66" s="594">
        <v>60280</v>
      </c>
      <c r="E66" s="595"/>
      <c r="F66" s="594"/>
      <c r="G66" s="594">
        <f t="shared" si="5"/>
        <v>0</v>
      </c>
      <c r="H66" s="594"/>
      <c r="I66" s="19" t="s">
        <v>95</v>
      </c>
      <c r="O66" s="617" t="s">
        <v>872</v>
      </c>
      <c r="P66" s="594"/>
      <c r="R66" s="197"/>
      <c r="S66" s="199"/>
    </row>
    <row r="67" spans="1:22" ht="33.75" customHeight="1" x14ac:dyDescent="0.25">
      <c r="B67" s="616" t="e">
        <f>B43+1</f>
        <v>#REF!</v>
      </c>
      <c r="C67" s="617" t="s">
        <v>873</v>
      </c>
      <c r="D67" s="594">
        <v>3500</v>
      </c>
      <c r="E67" s="595"/>
      <c r="F67" s="594">
        <v>3500</v>
      </c>
      <c r="G67" s="594">
        <f t="shared" si="5"/>
        <v>3500</v>
      </c>
      <c r="H67" s="594">
        <v>1000</v>
      </c>
      <c r="I67" s="19" t="s">
        <v>95</v>
      </c>
      <c r="O67" s="617" t="s">
        <v>873</v>
      </c>
      <c r="P67" s="594">
        <v>1000</v>
      </c>
      <c r="R67" s="197">
        <v>1000</v>
      </c>
      <c r="S67" s="199"/>
    </row>
    <row r="68" spans="1:22" ht="33.75" customHeight="1" x14ac:dyDescent="0.25">
      <c r="B68" s="616" t="e">
        <f>B17+1</f>
        <v>#REF!</v>
      </c>
      <c r="C68" s="617" t="s">
        <v>874</v>
      </c>
      <c r="D68" s="594">
        <v>8000</v>
      </c>
      <c r="E68" s="595"/>
      <c r="F68" s="594"/>
      <c r="G68" s="594">
        <f t="shared" si="5"/>
        <v>0</v>
      </c>
      <c r="H68" s="594"/>
      <c r="I68" s="19" t="s">
        <v>95</v>
      </c>
      <c r="O68" s="617" t="s">
        <v>874</v>
      </c>
      <c r="P68" s="594"/>
      <c r="R68" s="197"/>
      <c r="S68" s="199"/>
    </row>
    <row r="69" spans="1:22" ht="33.75" customHeight="1" x14ac:dyDescent="0.25">
      <c r="B69" s="616" t="e">
        <f>B46+1</f>
        <v>#REF!</v>
      </c>
      <c r="C69" s="617" t="s">
        <v>875</v>
      </c>
      <c r="D69" s="594">
        <v>32875</v>
      </c>
      <c r="E69" s="595"/>
      <c r="F69" s="594">
        <v>50925</v>
      </c>
      <c r="G69" s="594">
        <f t="shared" si="5"/>
        <v>50925</v>
      </c>
      <c r="H69" s="594">
        <v>58000</v>
      </c>
      <c r="I69" s="19" t="s">
        <v>95</v>
      </c>
      <c r="O69" s="617" t="s">
        <v>875</v>
      </c>
      <c r="P69" s="594">
        <v>58000</v>
      </c>
      <c r="R69" s="337">
        <v>58000</v>
      </c>
      <c r="S69" s="199"/>
    </row>
    <row r="70" spans="1:22" ht="33.75" customHeight="1" x14ac:dyDescent="0.25">
      <c r="B70" s="616" t="e">
        <f>B66+1</f>
        <v>#REF!</v>
      </c>
      <c r="C70" s="617" t="s">
        <v>876</v>
      </c>
      <c r="D70" s="594">
        <v>31500</v>
      </c>
      <c r="E70" s="595"/>
      <c r="F70" s="594"/>
      <c r="G70" s="594">
        <f t="shared" si="5"/>
        <v>0</v>
      </c>
      <c r="H70" s="594"/>
      <c r="I70" s="19" t="s">
        <v>95</v>
      </c>
      <c r="O70" s="617" t="s">
        <v>876</v>
      </c>
      <c r="P70" s="594"/>
      <c r="R70" s="197"/>
      <c r="S70" s="199"/>
    </row>
    <row r="71" spans="1:22" ht="33.75" customHeight="1" x14ac:dyDescent="0.25">
      <c r="B71" s="616" t="e">
        <f>B18+1</f>
        <v>#REF!</v>
      </c>
      <c r="C71" s="617" t="s">
        <v>877</v>
      </c>
      <c r="D71" s="594">
        <v>7600</v>
      </c>
      <c r="E71" s="595"/>
      <c r="F71" s="594"/>
      <c r="G71" s="594">
        <f t="shared" si="5"/>
        <v>0</v>
      </c>
      <c r="H71" s="594"/>
      <c r="I71" s="19" t="s">
        <v>95</v>
      </c>
      <c r="O71" s="617" t="s">
        <v>877</v>
      </c>
      <c r="P71" s="594"/>
      <c r="R71" s="197"/>
      <c r="S71" s="199"/>
    </row>
    <row r="72" spans="1:22" ht="33.75" customHeight="1" x14ac:dyDescent="0.25">
      <c r="B72" s="616"/>
      <c r="C72" s="628" t="s">
        <v>878</v>
      </c>
      <c r="D72" s="629">
        <v>1800</v>
      </c>
      <c r="E72" s="630"/>
      <c r="F72" s="629"/>
      <c r="G72" s="594">
        <f t="shared" si="5"/>
        <v>0</v>
      </c>
      <c r="H72" s="594"/>
      <c r="I72" s="19" t="s">
        <v>95</v>
      </c>
      <c r="N72" s="626">
        <f>SUM(H52:H72)</f>
        <v>321964.62</v>
      </c>
      <c r="O72" s="628" t="s">
        <v>878</v>
      </c>
      <c r="P72" s="197"/>
      <c r="Q72" s="631">
        <f>SUM(P52:P71)</f>
        <v>203464.62</v>
      </c>
      <c r="R72" s="197"/>
      <c r="S72" s="199"/>
    </row>
    <row r="73" spans="1:22" x14ac:dyDescent="0.25">
      <c r="O73" s="59"/>
    </row>
    <row r="74" spans="1:22" s="125" customFormat="1" ht="33.75" customHeight="1" x14ac:dyDescent="0.25">
      <c r="A74" s="615" t="e">
        <f>F74+F75+F76+#REF!+#REF!+#REF!+F78+F80+F81+F82+F83+F84+F25+F14+F23+F24+F87+F88+F89+F90+F91+F92+F26+F28+F94+F27</f>
        <v>#REF!</v>
      </c>
      <c r="B74" s="616" t="e">
        <f>B6+1</f>
        <v>#REF!</v>
      </c>
      <c r="C74" s="617" t="s">
        <v>189</v>
      </c>
      <c r="D74" s="594">
        <v>5725</v>
      </c>
      <c r="E74" s="595">
        <v>196</v>
      </c>
      <c r="F74" s="594">
        <v>5723.96</v>
      </c>
      <c r="G74" s="594">
        <f>F74-E74</f>
        <v>5527.96</v>
      </c>
      <c r="H74" s="594">
        <f>F74</f>
        <v>5723.96</v>
      </c>
      <c r="I74" s="43" t="s">
        <v>95</v>
      </c>
      <c r="O74" s="617" t="s">
        <v>189</v>
      </c>
      <c r="P74" s="594">
        <v>5723.96</v>
      </c>
      <c r="Q74" s="633"/>
      <c r="R74" s="197">
        <v>5723.96</v>
      </c>
      <c r="S74" s="199"/>
      <c r="V74" s="273"/>
    </row>
    <row r="75" spans="1:22" s="125" customFormat="1" ht="33.75" customHeight="1" x14ac:dyDescent="0.25">
      <c r="B75" s="616"/>
      <c r="C75" s="617" t="s">
        <v>883</v>
      </c>
      <c r="D75" s="594">
        <v>693</v>
      </c>
      <c r="E75" s="595">
        <v>0</v>
      </c>
      <c r="F75" s="594">
        <v>520</v>
      </c>
      <c r="G75" s="594">
        <f>F75-E75</f>
        <v>520</v>
      </c>
      <c r="H75" s="594">
        <f t="shared" ref="H75:H76" si="6">F75</f>
        <v>520</v>
      </c>
      <c r="I75" s="43" t="s">
        <v>95</v>
      </c>
      <c r="N75" s="631">
        <f>SUM(H74:H75)</f>
        <v>6243.96</v>
      </c>
      <c r="O75" s="617" t="s">
        <v>883</v>
      </c>
      <c r="P75" s="594">
        <v>520</v>
      </c>
      <c r="Q75" s="631">
        <f>SUM(P74:P75)</f>
        <v>6243.96</v>
      </c>
      <c r="R75" s="197">
        <v>520</v>
      </c>
      <c r="S75" s="199"/>
      <c r="V75" s="273"/>
    </row>
    <row r="76" spans="1:22" s="125" customFormat="1" ht="33.75" customHeight="1" x14ac:dyDescent="0.25">
      <c r="B76" s="231"/>
      <c r="C76" s="196" t="s">
        <v>884</v>
      </c>
      <c r="D76" s="197">
        <v>12450</v>
      </c>
      <c r="E76" s="198">
        <v>0</v>
      </c>
      <c r="F76" s="197">
        <v>13386.84</v>
      </c>
      <c r="G76" s="197">
        <f>F76-E76</f>
        <v>13386.84</v>
      </c>
      <c r="H76" s="197">
        <f t="shared" si="6"/>
        <v>13386.84</v>
      </c>
      <c r="I76" s="43" t="s">
        <v>95</v>
      </c>
      <c r="O76" s="196" t="s">
        <v>884</v>
      </c>
      <c r="P76" s="197">
        <v>13386.84</v>
      </c>
      <c r="Q76" s="633"/>
      <c r="R76" s="197">
        <v>13386.84</v>
      </c>
      <c r="S76" s="199"/>
      <c r="V76" s="273"/>
    </row>
    <row r="77" spans="1:22" s="125" customFormat="1" ht="33.75" customHeight="1" x14ac:dyDescent="0.25">
      <c r="B77" s="231"/>
      <c r="C77" s="196"/>
      <c r="D77" s="197"/>
      <c r="E77" s="198"/>
      <c r="F77" s="197"/>
      <c r="G77" s="197"/>
      <c r="H77" s="197"/>
      <c r="I77" s="43"/>
      <c r="O77" s="196"/>
      <c r="P77" s="197"/>
      <c r="Q77" s="633"/>
      <c r="R77" s="197"/>
      <c r="S77" s="199"/>
      <c r="V77" s="273"/>
    </row>
    <row r="78" spans="1:22" s="125" customFormat="1" ht="33.75" customHeight="1" x14ac:dyDescent="0.25">
      <c r="B78" s="231"/>
      <c r="C78" s="196" t="s">
        <v>888</v>
      </c>
      <c r="D78" s="197">
        <v>2827</v>
      </c>
      <c r="E78" s="198">
        <v>0</v>
      </c>
      <c r="F78" s="197">
        <v>3204.24</v>
      </c>
      <c r="G78" s="197">
        <f>F78-E78</f>
        <v>3204.24</v>
      </c>
      <c r="H78" s="197">
        <f t="shared" ref="H78:H82" si="7">F78</f>
        <v>3204.24</v>
      </c>
      <c r="I78" s="43" t="s">
        <v>95</v>
      </c>
      <c r="O78" s="196" t="s">
        <v>888</v>
      </c>
      <c r="P78" s="197">
        <v>3204.24</v>
      </c>
      <c r="Q78" s="633"/>
      <c r="R78" s="197">
        <v>3204.24</v>
      </c>
      <c r="S78" s="199"/>
      <c r="V78" s="273"/>
    </row>
    <row r="79" spans="1:22" s="125" customFormat="1" ht="33.75" customHeight="1" x14ac:dyDescent="0.25">
      <c r="B79" s="231"/>
      <c r="C79" s="196"/>
      <c r="D79" s="197"/>
      <c r="E79" s="198"/>
      <c r="F79" s="197"/>
      <c r="G79" s="197"/>
      <c r="H79" s="197"/>
      <c r="I79" s="43"/>
      <c r="O79" s="196"/>
      <c r="P79" s="197"/>
      <c r="Q79" s="633"/>
      <c r="R79" s="197"/>
      <c r="S79" s="199"/>
      <c r="V79" s="273"/>
    </row>
    <row r="80" spans="1:22" s="125" customFormat="1" ht="33.75" customHeight="1" x14ac:dyDescent="0.25">
      <c r="B80" s="231"/>
      <c r="C80" s="196" t="s">
        <v>889</v>
      </c>
      <c r="D80" s="197">
        <v>450</v>
      </c>
      <c r="E80" s="198">
        <v>0</v>
      </c>
      <c r="F80" s="197">
        <v>450.4</v>
      </c>
      <c r="G80" s="197">
        <f t="shared" ref="G80:G85" si="8">F80-E80</f>
        <v>450.4</v>
      </c>
      <c r="H80" s="197">
        <f t="shared" si="7"/>
        <v>450.4</v>
      </c>
      <c r="I80" s="43" t="s">
        <v>95</v>
      </c>
      <c r="O80" s="196" t="s">
        <v>889</v>
      </c>
      <c r="P80" s="197">
        <v>450.4</v>
      </c>
      <c r="Q80" s="633"/>
      <c r="R80" s="197">
        <v>450.4</v>
      </c>
      <c r="S80" s="199"/>
      <c r="V80" s="273"/>
    </row>
    <row r="81" spans="2:22" s="125" customFormat="1" ht="33.75" customHeight="1" x14ac:dyDescent="0.25">
      <c r="B81" s="231"/>
      <c r="C81" s="196" t="s">
        <v>890</v>
      </c>
      <c r="D81" s="197">
        <v>1484</v>
      </c>
      <c r="E81" s="198">
        <v>0</v>
      </c>
      <c r="F81" s="197">
        <v>1493.15</v>
      </c>
      <c r="G81" s="197">
        <f t="shared" si="8"/>
        <v>1493.15</v>
      </c>
      <c r="H81" s="197">
        <f t="shared" si="7"/>
        <v>1493.15</v>
      </c>
      <c r="I81" s="43" t="s">
        <v>95</v>
      </c>
      <c r="O81" s="196" t="s">
        <v>890</v>
      </c>
      <c r="P81" s="197">
        <v>1493.15</v>
      </c>
      <c r="Q81" s="633"/>
      <c r="R81" s="197">
        <v>1493.15</v>
      </c>
      <c r="S81" s="199"/>
      <c r="V81" s="273"/>
    </row>
    <row r="82" spans="2:22" s="125" customFormat="1" ht="33.75" customHeight="1" x14ac:dyDescent="0.25">
      <c r="B82" s="231"/>
      <c r="C82" s="196" t="s">
        <v>891</v>
      </c>
      <c r="D82" s="197">
        <v>7818</v>
      </c>
      <c r="E82" s="198">
        <v>0</v>
      </c>
      <c r="F82" s="197">
        <v>7094.05</v>
      </c>
      <c r="G82" s="197">
        <f t="shared" si="8"/>
        <v>7094.05</v>
      </c>
      <c r="H82" s="197">
        <f t="shared" si="7"/>
        <v>7094.05</v>
      </c>
      <c r="I82" s="43" t="s">
        <v>95</v>
      </c>
      <c r="O82" s="196" t="s">
        <v>891</v>
      </c>
      <c r="P82" s="197">
        <v>7094.05</v>
      </c>
      <c r="Q82" s="633"/>
      <c r="R82" s="197">
        <v>7094.05</v>
      </c>
      <c r="S82" s="199"/>
      <c r="V82" s="273"/>
    </row>
    <row r="83" spans="2:22" s="125" customFormat="1" ht="33.75" customHeight="1" x14ac:dyDescent="0.25">
      <c r="B83" s="231"/>
      <c r="C83" s="196" t="s">
        <v>892</v>
      </c>
      <c r="D83" s="197">
        <v>3895</v>
      </c>
      <c r="E83" s="198">
        <v>0</v>
      </c>
      <c r="F83" s="197">
        <v>4341.0600000000004</v>
      </c>
      <c r="G83" s="197">
        <f t="shared" si="8"/>
        <v>4341.0600000000004</v>
      </c>
      <c r="H83" s="197">
        <v>4341.0600000000004</v>
      </c>
      <c r="I83" s="43" t="s">
        <v>95</v>
      </c>
      <c r="O83" s="196" t="s">
        <v>892</v>
      </c>
      <c r="P83" s="197">
        <v>4341.0600000000004</v>
      </c>
      <c r="Q83" s="633"/>
      <c r="R83" s="197">
        <v>4341.0600000000004</v>
      </c>
      <c r="S83" s="199"/>
      <c r="V83" s="273"/>
    </row>
    <row r="84" spans="2:22" s="125" customFormat="1" ht="33.75" customHeight="1" x14ac:dyDescent="0.25">
      <c r="B84" s="231"/>
      <c r="C84" s="196" t="s">
        <v>893</v>
      </c>
      <c r="D84" s="197">
        <v>5200</v>
      </c>
      <c r="E84" s="198">
        <v>0</v>
      </c>
      <c r="F84" s="197">
        <v>5200</v>
      </c>
      <c r="G84" s="197">
        <f t="shared" si="8"/>
        <v>5200</v>
      </c>
      <c r="H84" s="197">
        <f t="shared" ref="H84:H94" si="9">F84</f>
        <v>5200</v>
      </c>
      <c r="I84" s="43" t="s">
        <v>95</v>
      </c>
      <c r="O84" s="196" t="s">
        <v>893</v>
      </c>
      <c r="P84" s="197">
        <v>5200</v>
      </c>
      <c r="Q84" s="633"/>
      <c r="R84" s="197">
        <v>5200</v>
      </c>
      <c r="S84" s="199"/>
      <c r="V84" s="273"/>
    </row>
    <row r="85" spans="2:22" s="125" customFormat="1" x14ac:dyDescent="0.25">
      <c r="B85" s="231"/>
      <c r="C85" s="196" t="s">
        <v>887</v>
      </c>
      <c r="D85" s="197">
        <v>3380</v>
      </c>
      <c r="E85" s="198">
        <v>0</v>
      </c>
      <c r="F85" s="197">
        <v>3380</v>
      </c>
      <c r="G85" s="197">
        <f t="shared" si="8"/>
        <v>3380</v>
      </c>
      <c r="H85" s="197">
        <f>F85</f>
        <v>3380</v>
      </c>
      <c r="I85" s="43" t="s">
        <v>95</v>
      </c>
      <c r="O85" s="196" t="s">
        <v>887</v>
      </c>
      <c r="P85" s="197">
        <v>3380</v>
      </c>
      <c r="Q85" s="633"/>
      <c r="R85" s="197">
        <v>3380</v>
      </c>
      <c r="T85" s="273"/>
    </row>
    <row r="86" spans="2:22" s="125" customFormat="1" ht="33.75" customHeight="1" x14ac:dyDescent="0.25">
      <c r="B86" s="231"/>
      <c r="C86" s="196"/>
      <c r="D86" s="197"/>
      <c r="E86" s="198"/>
      <c r="F86" s="197"/>
      <c r="G86" s="197"/>
      <c r="H86" s="197"/>
      <c r="I86" s="43"/>
      <c r="O86" s="196"/>
      <c r="P86" s="197"/>
      <c r="Q86" s="633"/>
      <c r="R86" s="197"/>
      <c r="S86" s="199"/>
      <c r="V86" s="273"/>
    </row>
    <row r="87" spans="2:22" s="125" customFormat="1" ht="33.75" customHeight="1" x14ac:dyDescent="0.25">
      <c r="B87" s="231"/>
      <c r="C87" s="617" t="s">
        <v>898</v>
      </c>
      <c r="D87" s="594">
        <v>1124</v>
      </c>
      <c r="E87" s="595">
        <v>0</v>
      </c>
      <c r="F87" s="594">
        <v>1038.68</v>
      </c>
      <c r="G87" s="594">
        <f t="shared" ref="G87:G92" si="10">F87-E87</f>
        <v>1038.68</v>
      </c>
      <c r="H87" s="594">
        <f t="shared" si="9"/>
        <v>1038.68</v>
      </c>
      <c r="I87" s="43" t="s">
        <v>95</v>
      </c>
      <c r="O87" s="617" t="s">
        <v>898</v>
      </c>
      <c r="P87" s="594">
        <v>1038.68</v>
      </c>
      <c r="Q87" s="633"/>
      <c r="R87" s="197">
        <v>1038.68</v>
      </c>
      <c r="S87" s="199"/>
      <c r="V87" s="273"/>
    </row>
    <row r="88" spans="2:22" s="125" customFormat="1" ht="33.75" customHeight="1" x14ac:dyDescent="0.25">
      <c r="B88" s="231"/>
      <c r="C88" s="617" t="s">
        <v>899</v>
      </c>
      <c r="D88" s="594">
        <v>876</v>
      </c>
      <c r="E88" s="595">
        <v>0</v>
      </c>
      <c r="F88" s="594">
        <v>860.24</v>
      </c>
      <c r="G88" s="594">
        <f t="shared" si="10"/>
        <v>860.24</v>
      </c>
      <c r="H88" s="594">
        <f t="shared" si="9"/>
        <v>860.24</v>
      </c>
      <c r="I88" s="43" t="s">
        <v>95</v>
      </c>
      <c r="O88" s="617" t="s">
        <v>899</v>
      </c>
      <c r="P88" s="594">
        <v>860.24</v>
      </c>
      <c r="Q88" s="633"/>
      <c r="R88" s="197">
        <v>860.24</v>
      </c>
      <c r="S88" s="199"/>
      <c r="V88" s="273"/>
    </row>
    <row r="89" spans="2:22" s="125" customFormat="1" ht="33.75" customHeight="1" x14ac:dyDescent="0.25">
      <c r="B89" s="231"/>
      <c r="C89" s="617" t="s">
        <v>900</v>
      </c>
      <c r="D89" s="594">
        <v>8728</v>
      </c>
      <c r="E89" s="595">
        <v>0</v>
      </c>
      <c r="F89" s="594">
        <v>8011.55</v>
      </c>
      <c r="G89" s="594">
        <f t="shared" si="10"/>
        <v>8011.55</v>
      </c>
      <c r="H89" s="594">
        <f t="shared" si="9"/>
        <v>8011.55</v>
      </c>
      <c r="I89" s="43" t="s">
        <v>95</v>
      </c>
      <c r="O89" s="617" t="s">
        <v>900</v>
      </c>
      <c r="P89" s="594">
        <v>8011.55</v>
      </c>
      <c r="Q89" s="633"/>
      <c r="R89" s="197">
        <v>8011.55</v>
      </c>
      <c r="S89" s="199"/>
      <c r="V89" s="273"/>
    </row>
    <row r="90" spans="2:22" s="125" customFormat="1" ht="33.75" customHeight="1" x14ac:dyDescent="0.25">
      <c r="B90" s="231"/>
      <c r="C90" s="617" t="s">
        <v>901</v>
      </c>
      <c r="D90" s="594">
        <v>520</v>
      </c>
      <c r="E90" s="595">
        <v>0</v>
      </c>
      <c r="F90" s="594">
        <v>521.29999999999995</v>
      </c>
      <c r="G90" s="594">
        <f t="shared" si="10"/>
        <v>521.29999999999995</v>
      </c>
      <c r="H90" s="594">
        <f t="shared" si="9"/>
        <v>521.29999999999995</v>
      </c>
      <c r="I90" s="43" t="s">
        <v>95</v>
      </c>
      <c r="O90" s="617" t="s">
        <v>901</v>
      </c>
      <c r="P90" s="594">
        <v>521.29999999999995</v>
      </c>
      <c r="Q90" s="633"/>
      <c r="R90" s="197">
        <v>521.29999999999995</v>
      </c>
      <c r="S90" s="199"/>
      <c r="V90" s="273"/>
    </row>
    <row r="91" spans="2:22" s="125" customFormat="1" ht="33.75" customHeight="1" x14ac:dyDescent="0.25">
      <c r="B91" s="231"/>
      <c r="C91" s="617" t="s">
        <v>902</v>
      </c>
      <c r="D91" s="594">
        <v>535</v>
      </c>
      <c r="E91" s="595">
        <v>0</v>
      </c>
      <c r="F91" s="594">
        <v>535.82000000000005</v>
      </c>
      <c r="G91" s="594">
        <f t="shared" si="10"/>
        <v>535.82000000000005</v>
      </c>
      <c r="H91" s="594">
        <f t="shared" si="9"/>
        <v>535.82000000000005</v>
      </c>
      <c r="I91" s="43" t="s">
        <v>95</v>
      </c>
      <c r="O91" s="617" t="s">
        <v>902</v>
      </c>
      <c r="P91" s="594">
        <v>535.82000000000005</v>
      </c>
      <c r="Q91" s="633"/>
      <c r="R91" s="197">
        <v>535.82000000000005</v>
      </c>
      <c r="S91" s="199"/>
      <c r="V91" s="273"/>
    </row>
    <row r="92" spans="2:22" s="125" customFormat="1" ht="33.75" customHeight="1" x14ac:dyDescent="0.25">
      <c r="B92" s="231"/>
      <c r="C92" s="617" t="s">
        <v>903</v>
      </c>
      <c r="D92" s="594">
        <v>1505</v>
      </c>
      <c r="E92" s="595">
        <v>0</v>
      </c>
      <c r="F92" s="594">
        <v>1509.2</v>
      </c>
      <c r="G92" s="594">
        <f t="shared" si="10"/>
        <v>1509.2</v>
      </c>
      <c r="H92" s="594">
        <f t="shared" si="9"/>
        <v>1509.2</v>
      </c>
      <c r="I92" s="43" t="s">
        <v>95</v>
      </c>
      <c r="N92" s="624">
        <f>SUM(H87:H92)</f>
        <v>12476.79</v>
      </c>
      <c r="O92" s="617" t="s">
        <v>903</v>
      </c>
      <c r="P92" s="594">
        <v>1509.2</v>
      </c>
      <c r="Q92" s="631">
        <f>SUM(P87:P92)</f>
        <v>12476.79</v>
      </c>
      <c r="R92" s="197">
        <v>1509.2</v>
      </c>
      <c r="S92" s="199"/>
      <c r="V92" s="273"/>
    </row>
    <row r="93" spans="2:22" s="125" customFormat="1" ht="33.75" customHeight="1" x14ac:dyDescent="0.25">
      <c r="B93" s="231"/>
      <c r="C93" s="196"/>
      <c r="D93" s="197"/>
      <c r="E93" s="198"/>
      <c r="F93" s="197"/>
      <c r="G93" s="197"/>
      <c r="H93" s="197"/>
      <c r="I93" s="43"/>
      <c r="O93" s="196"/>
      <c r="P93" s="197"/>
      <c r="Q93" s="633"/>
      <c r="R93" s="197"/>
      <c r="S93" s="199"/>
      <c r="V93" s="273"/>
    </row>
    <row r="94" spans="2:22" s="125" customFormat="1" ht="33.75" customHeight="1" x14ac:dyDescent="0.25">
      <c r="B94" s="231"/>
      <c r="C94" s="196" t="s">
        <v>906</v>
      </c>
      <c r="D94" s="197">
        <v>928</v>
      </c>
      <c r="E94" s="198">
        <v>0</v>
      </c>
      <c r="F94" s="197">
        <v>768</v>
      </c>
      <c r="G94" s="197">
        <f>F94-E94</f>
        <v>768</v>
      </c>
      <c r="H94" s="197">
        <f t="shared" si="9"/>
        <v>768</v>
      </c>
      <c r="I94" s="43" t="s">
        <v>95</v>
      </c>
      <c r="O94" s="196" t="s">
        <v>906</v>
      </c>
      <c r="P94" s="197">
        <v>768</v>
      </c>
      <c r="Q94" s="633"/>
      <c r="R94" s="197">
        <v>768</v>
      </c>
      <c r="S94" s="199"/>
      <c r="V94" s="273"/>
    </row>
    <row r="95" spans="2:22" s="125" customFormat="1" ht="33.75" customHeight="1" x14ac:dyDescent="0.25">
      <c r="B95" s="231"/>
      <c r="C95" s="196"/>
      <c r="D95" s="197"/>
      <c r="E95" s="198"/>
      <c r="F95" s="197"/>
      <c r="G95" s="197"/>
      <c r="H95" s="197"/>
      <c r="I95" s="43"/>
      <c r="O95" s="196"/>
      <c r="P95" s="197"/>
      <c r="Q95" s="633"/>
      <c r="R95" s="197"/>
      <c r="S95" s="199"/>
      <c r="V95" s="273"/>
    </row>
    <row r="96" spans="2:22" ht="33.75" customHeight="1" x14ac:dyDescent="0.25">
      <c r="B96" s="616" t="e">
        <f>#REF!+1</f>
        <v>#REF!</v>
      </c>
      <c r="C96" s="551" t="s">
        <v>205</v>
      </c>
      <c r="D96" s="552">
        <v>50040</v>
      </c>
      <c r="E96" s="553">
        <v>50040</v>
      </c>
      <c r="F96" s="552">
        <v>50040</v>
      </c>
      <c r="G96" s="552">
        <f>F96-E96</f>
        <v>0</v>
      </c>
      <c r="H96" s="553">
        <f t="shared" ref="H96:H106" si="11">F96</f>
        <v>50040</v>
      </c>
      <c r="I96" s="19" t="s">
        <v>95</v>
      </c>
      <c r="O96" s="551" t="s">
        <v>205</v>
      </c>
      <c r="P96" s="553">
        <v>50040</v>
      </c>
      <c r="R96" s="239">
        <v>50040</v>
      </c>
      <c r="S96" s="368"/>
    </row>
    <row r="97" spans="2:19" ht="33.75" customHeight="1" x14ac:dyDescent="0.25">
      <c r="B97" s="616" t="e">
        <f>B104+1</f>
        <v>#REF!</v>
      </c>
      <c r="C97" s="617" t="s">
        <v>923</v>
      </c>
      <c r="D97" s="594">
        <v>1800</v>
      </c>
      <c r="E97" s="595"/>
      <c r="F97" s="594">
        <v>300.82</v>
      </c>
      <c r="G97" s="552">
        <f>F97-E97</f>
        <v>300.82</v>
      </c>
      <c r="H97" s="629">
        <f>'[1]70,05,707 AFFITTO POSTI FONTEB.'!P1</f>
        <v>1800</v>
      </c>
      <c r="I97" s="369"/>
      <c r="O97" s="617" t="s">
        <v>923</v>
      </c>
      <c r="P97" s="629">
        <v>1800</v>
      </c>
      <c r="R97" s="34">
        <v>1800</v>
      </c>
      <c r="S97" s="370"/>
    </row>
    <row r="98" spans="2:19" ht="33.75" customHeight="1" x14ac:dyDescent="0.25">
      <c r="B98" s="616" t="e">
        <f>B32+1</f>
        <v>#REF!</v>
      </c>
      <c r="C98" s="617" t="s">
        <v>186</v>
      </c>
      <c r="D98" s="594">
        <v>1600</v>
      </c>
      <c r="E98" s="595">
        <v>1611</v>
      </c>
      <c r="F98" s="594">
        <v>1600</v>
      </c>
      <c r="G98" s="594">
        <f>F98-E98</f>
        <v>-11</v>
      </c>
      <c r="H98" s="594">
        <f>'[1]68,05,730 spes.condomin.fontebr'!P1</f>
        <v>1600</v>
      </c>
      <c r="I98" s="19" t="s">
        <v>95</v>
      </c>
      <c r="N98" s="634">
        <f>SUM(H96:H98)</f>
        <v>53440</v>
      </c>
      <c r="O98" s="617" t="s">
        <v>186</v>
      </c>
      <c r="P98" s="594">
        <v>1600</v>
      </c>
      <c r="Q98" s="634">
        <f>SUM(P96:P98)</f>
        <v>53440</v>
      </c>
      <c r="R98" s="197">
        <v>1600</v>
      </c>
      <c r="S98" s="199"/>
    </row>
    <row r="99" spans="2:19" ht="33.75" customHeight="1" x14ac:dyDescent="0.25">
      <c r="B99" s="231"/>
      <c r="C99" s="196"/>
      <c r="D99" s="197"/>
      <c r="E99" s="198"/>
      <c r="F99" s="197"/>
      <c r="G99" s="197"/>
      <c r="H99" s="197"/>
      <c r="I99" s="19"/>
      <c r="O99" s="196"/>
      <c r="P99" s="197"/>
      <c r="R99" s="197"/>
      <c r="S99" s="199"/>
    </row>
    <row r="100" spans="2:19" ht="33.75" customHeight="1" x14ac:dyDescent="0.25">
      <c r="B100" s="231" t="e">
        <f>B96+1</f>
        <v>#REF!</v>
      </c>
      <c r="C100" s="53" t="s">
        <v>206</v>
      </c>
      <c r="D100" s="52">
        <v>13640.400000000001</v>
      </c>
      <c r="E100" s="239">
        <v>10112</v>
      </c>
      <c r="F100" s="52">
        <v>13701.4</v>
      </c>
      <c r="G100" s="52">
        <f t="shared" ref="G100:G107" si="12">F100-E100</f>
        <v>3589.3999999999996</v>
      </c>
      <c r="H100" s="52">
        <f t="shared" si="11"/>
        <v>13701.4</v>
      </c>
      <c r="I100" s="19" t="s">
        <v>95</v>
      </c>
      <c r="O100" s="53" t="s">
        <v>206</v>
      </c>
      <c r="P100" s="52">
        <v>13701.4</v>
      </c>
      <c r="R100" s="52">
        <v>13701.4</v>
      </c>
      <c r="S100" s="240"/>
    </row>
    <row r="101" spans="2:19" ht="33.75" customHeight="1" x14ac:dyDescent="0.25">
      <c r="B101" s="231" t="e">
        <f t="shared" ref="B101:B102" si="13">B100+1</f>
        <v>#REF!</v>
      </c>
      <c r="C101" s="53" t="s">
        <v>207</v>
      </c>
      <c r="D101" s="52">
        <v>0</v>
      </c>
      <c r="E101" s="239">
        <v>6240</v>
      </c>
      <c r="F101" s="52">
        <v>0</v>
      </c>
      <c r="G101" s="52">
        <f t="shared" si="12"/>
        <v>-6240</v>
      </c>
      <c r="H101" s="52">
        <f t="shared" si="11"/>
        <v>0</v>
      </c>
      <c r="I101" s="19" t="s">
        <v>95</v>
      </c>
      <c r="O101" s="53" t="s">
        <v>207</v>
      </c>
      <c r="P101" s="52">
        <v>0</v>
      </c>
      <c r="R101" s="52">
        <v>0</v>
      </c>
      <c r="S101" s="240"/>
    </row>
    <row r="102" spans="2:19" ht="33.75" customHeight="1" x14ac:dyDescent="0.25">
      <c r="B102" s="231" t="e">
        <f t="shared" si="13"/>
        <v>#REF!</v>
      </c>
      <c r="C102" s="53" t="s">
        <v>208</v>
      </c>
      <c r="D102" s="52">
        <v>7472</v>
      </c>
      <c r="E102" s="239">
        <v>6194</v>
      </c>
      <c r="F102" s="52">
        <v>7472</v>
      </c>
      <c r="G102" s="52">
        <f t="shared" si="12"/>
        <v>1278</v>
      </c>
      <c r="H102" s="52">
        <f t="shared" si="11"/>
        <v>7472</v>
      </c>
      <c r="I102" s="19" t="s">
        <v>95</v>
      </c>
      <c r="O102" s="53" t="s">
        <v>208</v>
      </c>
      <c r="P102" s="52">
        <v>7472</v>
      </c>
      <c r="R102" s="52">
        <v>7472</v>
      </c>
      <c r="S102" s="240"/>
    </row>
    <row r="103" spans="2:19" ht="33.75" customHeight="1" x14ac:dyDescent="0.25">
      <c r="B103" s="231"/>
      <c r="C103" s="53"/>
      <c r="D103" s="52"/>
      <c r="E103" s="239"/>
      <c r="F103" s="52"/>
      <c r="G103" s="52"/>
      <c r="H103" s="52"/>
      <c r="I103" s="19"/>
      <c r="O103" s="53"/>
      <c r="P103" s="52"/>
      <c r="R103" s="52"/>
      <c r="S103" s="240"/>
    </row>
    <row r="104" spans="2:19" ht="33.75" customHeight="1" x14ac:dyDescent="0.25">
      <c r="B104" s="231" t="e">
        <f>B102+1</f>
        <v>#REF!</v>
      </c>
      <c r="C104" s="53" t="s">
        <v>209</v>
      </c>
      <c r="D104" s="52">
        <v>1266</v>
      </c>
      <c r="E104" s="239">
        <v>1529</v>
      </c>
      <c r="F104" s="52">
        <v>4428</v>
      </c>
      <c r="G104" s="52">
        <f t="shared" si="12"/>
        <v>2899</v>
      </c>
      <c r="H104" s="52">
        <f t="shared" si="11"/>
        <v>4428</v>
      </c>
      <c r="I104" s="19" t="s">
        <v>95</v>
      </c>
      <c r="N104" s="635"/>
      <c r="O104" s="53" t="s">
        <v>209</v>
      </c>
      <c r="P104" s="52">
        <v>4428</v>
      </c>
      <c r="R104" s="52">
        <v>4428</v>
      </c>
      <c r="S104" s="240"/>
    </row>
    <row r="105" spans="2:19" ht="33.75" customHeight="1" x14ac:dyDescent="0.25">
      <c r="B105" s="231"/>
      <c r="C105" s="53"/>
      <c r="D105" s="52"/>
      <c r="E105" s="239"/>
      <c r="F105" s="52"/>
      <c r="G105" s="52"/>
      <c r="H105" s="52"/>
      <c r="I105" s="19"/>
      <c r="O105" s="53"/>
      <c r="P105" s="52"/>
      <c r="R105" s="52"/>
      <c r="S105" s="240"/>
    </row>
    <row r="106" spans="2:19" ht="33.75" customHeight="1" x14ac:dyDescent="0.25">
      <c r="B106" s="231"/>
      <c r="C106" s="617" t="s">
        <v>922</v>
      </c>
      <c r="D106" s="552">
        <v>4391.619999999999</v>
      </c>
      <c r="E106" s="553"/>
      <c r="F106" s="552">
        <v>1044</v>
      </c>
      <c r="G106" s="552">
        <f t="shared" si="12"/>
        <v>1044</v>
      </c>
      <c r="H106" s="552">
        <f t="shared" si="11"/>
        <v>1044</v>
      </c>
      <c r="I106" s="19" t="s">
        <v>95</v>
      </c>
      <c r="O106" s="617" t="s">
        <v>922</v>
      </c>
      <c r="P106" s="552">
        <v>1044</v>
      </c>
      <c r="R106" s="52">
        <v>1044</v>
      </c>
      <c r="S106" s="240"/>
    </row>
    <row r="107" spans="2:19" ht="33.75" customHeight="1" x14ac:dyDescent="0.25">
      <c r="B107" s="231"/>
      <c r="C107" s="554" t="s">
        <v>924</v>
      </c>
      <c r="D107" s="629"/>
      <c r="E107" s="630"/>
      <c r="F107" s="629"/>
      <c r="G107" s="552">
        <f t="shared" si="12"/>
        <v>0</v>
      </c>
      <c r="H107" s="629">
        <v>1522.32</v>
      </c>
      <c r="I107" s="39"/>
      <c r="O107" s="554" t="s">
        <v>924</v>
      </c>
      <c r="P107" s="629">
        <v>1522.32</v>
      </c>
      <c r="R107" s="34">
        <v>1522.32</v>
      </c>
      <c r="S107" s="370"/>
    </row>
    <row r="108" spans="2:19" ht="33.75" customHeight="1" x14ac:dyDescent="0.25">
      <c r="B108" s="231"/>
      <c r="C108" s="554" t="s">
        <v>925</v>
      </c>
      <c r="D108" s="629"/>
      <c r="E108" s="630"/>
      <c r="F108" s="629"/>
      <c r="G108" s="552"/>
      <c r="H108" s="629">
        <v>665</v>
      </c>
      <c r="I108" s="39"/>
      <c r="N108" s="631">
        <f>SUM(H106:H108)</f>
        <v>3231.3199999999997</v>
      </c>
      <c r="O108" s="554" t="s">
        <v>925</v>
      </c>
      <c r="P108" s="629">
        <v>665</v>
      </c>
      <c r="Q108" s="631">
        <f>SUM(P106:P108)</f>
        <v>3231.3199999999997</v>
      </c>
      <c r="R108" s="34">
        <v>665</v>
      </c>
      <c r="S108" s="370"/>
    </row>
    <row r="109" spans="2:19" ht="33.75" customHeight="1" x14ac:dyDescent="0.25">
      <c r="B109" s="231"/>
      <c r="C109" s="371"/>
      <c r="D109" s="34"/>
      <c r="E109" s="227"/>
      <c r="F109" s="218"/>
      <c r="G109" s="52"/>
      <c r="H109" s="34"/>
      <c r="I109" s="39"/>
      <c r="O109" s="371"/>
      <c r="P109" s="34"/>
      <c r="R109" s="34"/>
      <c r="S109" s="370"/>
    </row>
    <row r="110" spans="2:19" ht="33.75" customHeight="1" x14ac:dyDescent="0.25">
      <c r="B110" s="231" t="e">
        <f>#REF!+1</f>
        <v>#REF!</v>
      </c>
      <c r="C110" s="53" t="s">
        <v>989</v>
      </c>
      <c r="D110" s="426">
        <v>2451.8000000000002</v>
      </c>
      <c r="E110" s="239"/>
      <c r="F110" s="52">
        <v>2451.8000000000002</v>
      </c>
      <c r="G110" s="54">
        <f t="shared" ref="G110" si="14">F110-E110</f>
        <v>2451.8000000000002</v>
      </c>
      <c r="H110" s="426">
        <f>732+2450</f>
        <v>3182</v>
      </c>
      <c r="I110" s="19" t="s">
        <v>41</v>
      </c>
      <c r="O110" s="53" t="s">
        <v>989</v>
      </c>
      <c r="P110" s="426">
        <v>3182</v>
      </c>
      <c r="R110" s="426">
        <v>3182</v>
      </c>
      <c r="S110" s="427"/>
    </row>
    <row r="111" spans="2:19" ht="38.25" customHeight="1" x14ac:dyDescent="0.25">
      <c r="C111" s="452"/>
      <c r="H111" s="60">
        <f>SUM(H2:H110)</f>
        <v>865876.3</v>
      </c>
      <c r="P111" s="60">
        <f>SUM(P2:P110)</f>
        <v>564876.30000000005</v>
      </c>
    </row>
    <row r="112" spans="2:19" ht="38.25" customHeight="1" x14ac:dyDescent="0.25"/>
    <row r="113" spans="2:22" ht="38.25" customHeight="1" x14ac:dyDescent="0.25">
      <c r="B113"/>
      <c r="C113"/>
      <c r="D113" s="2"/>
      <c r="E113" s="454"/>
      <c r="F113" s="455"/>
      <c r="G113" s="455"/>
      <c r="H113" s="2"/>
      <c r="P113" s="2"/>
      <c r="R113" s="2"/>
      <c r="S113" s="2"/>
      <c r="V113"/>
    </row>
    <row r="114" spans="2:22" ht="38.25" customHeight="1" x14ac:dyDescent="0.25">
      <c r="B114"/>
      <c r="C114"/>
      <c r="D114" s="2"/>
      <c r="E114" s="454"/>
      <c r="F114" s="455"/>
      <c r="G114" s="455"/>
      <c r="H114" s="2"/>
      <c r="P114" s="2"/>
      <c r="R114" s="2"/>
      <c r="S114" s="2"/>
      <c r="V114"/>
    </row>
    <row r="115" spans="2:22" ht="38.25" customHeight="1" x14ac:dyDescent="0.25">
      <c r="B115"/>
      <c r="C115"/>
      <c r="D115" s="2"/>
      <c r="E115" s="454"/>
      <c r="F115" s="455"/>
      <c r="G115" s="455"/>
      <c r="H115" s="2"/>
      <c r="P115" s="2"/>
      <c r="R115" s="2"/>
      <c r="S115" s="2"/>
      <c r="V115"/>
    </row>
    <row r="116" spans="2:22" ht="38.25" customHeight="1" x14ac:dyDescent="0.25">
      <c r="B116"/>
      <c r="C116"/>
      <c r="D116" s="2"/>
      <c r="E116" s="454"/>
      <c r="F116" s="455"/>
      <c r="G116" s="455"/>
      <c r="H116" s="2"/>
      <c r="P116" s="2"/>
      <c r="R116" s="2"/>
      <c r="S116" s="2"/>
      <c r="V116"/>
    </row>
    <row r="117" spans="2:22" ht="38.25" customHeight="1" x14ac:dyDescent="0.25"/>
    <row r="118" spans="2:22" ht="38.25" customHeight="1" x14ac:dyDescent="0.25"/>
    <row r="119" spans="2:22" ht="38.25" customHeight="1" x14ac:dyDescent="0.25"/>
    <row r="120" spans="2:22" ht="38.25" customHeight="1" x14ac:dyDescent="0.25"/>
    <row r="121" spans="2:22" ht="38.25" customHeight="1" x14ac:dyDescent="0.25"/>
    <row r="122" spans="2:22" ht="38.25" customHeight="1" x14ac:dyDescent="0.25"/>
    <row r="123" spans="2:22" ht="38.25" customHeight="1" x14ac:dyDescent="0.25"/>
    <row r="124" spans="2:22" ht="38.25" customHeight="1" x14ac:dyDescent="0.25"/>
    <row r="125" spans="2:22" ht="38.25" customHeight="1" x14ac:dyDescent="0.25"/>
    <row r="126" spans="2:22" ht="38.25" customHeight="1" x14ac:dyDescent="0.25"/>
    <row r="127" spans="2:22" ht="38.25" customHeight="1" x14ac:dyDescent="0.25"/>
    <row r="128" spans="2:22" ht="38.25" customHeight="1" x14ac:dyDescent="0.25"/>
    <row r="129" ht="38.25" customHeight="1" x14ac:dyDescent="0.25"/>
    <row r="130" ht="38.25" customHeight="1" x14ac:dyDescent="0.25"/>
    <row r="131" ht="38.25" customHeight="1" x14ac:dyDescent="0.25"/>
    <row r="132" ht="38.25" customHeight="1" x14ac:dyDescent="0.25"/>
    <row r="133" ht="38.25" customHeight="1" x14ac:dyDescent="0.25"/>
    <row r="134" ht="38.25" customHeight="1" x14ac:dyDescent="0.25"/>
    <row r="135" ht="38.25" customHeight="1" x14ac:dyDescent="0.25"/>
    <row r="136" ht="38.25" customHeight="1" x14ac:dyDescent="0.25"/>
    <row r="137" ht="38.25" customHeight="1" x14ac:dyDescent="0.25"/>
    <row r="138" ht="38.25" customHeight="1" x14ac:dyDescent="0.25"/>
    <row r="139" ht="38.25" customHeight="1" x14ac:dyDescent="0.25"/>
    <row r="140" ht="38.25" customHeight="1" x14ac:dyDescent="0.25"/>
    <row r="141" ht="38.25" customHeight="1" x14ac:dyDescent="0.25"/>
    <row r="142" ht="38.25" customHeight="1" x14ac:dyDescent="0.25"/>
    <row r="143" ht="38.25" customHeight="1" x14ac:dyDescent="0.25"/>
    <row r="144" ht="38.25" customHeight="1" x14ac:dyDescent="0.25"/>
    <row r="145" ht="38.25" customHeight="1" x14ac:dyDescent="0.25"/>
    <row r="146" ht="38.25" customHeight="1" x14ac:dyDescent="0.25"/>
    <row r="147" ht="38.25" customHeight="1" x14ac:dyDescent="0.25"/>
    <row r="148" ht="38.25" customHeight="1" x14ac:dyDescent="0.25"/>
    <row r="149" ht="38.25" customHeight="1" x14ac:dyDescent="0.25"/>
    <row r="150" ht="38.25" customHeight="1" x14ac:dyDescent="0.25"/>
    <row r="151" ht="38.25" customHeight="1" x14ac:dyDescent="0.25"/>
    <row r="152" ht="38.25" customHeight="1" x14ac:dyDescent="0.25"/>
    <row r="153" ht="38.25" customHeight="1" x14ac:dyDescent="0.25"/>
    <row r="154" ht="38.25" customHeight="1" x14ac:dyDescent="0.25"/>
    <row r="155" ht="38.25" customHeight="1" x14ac:dyDescent="0.25"/>
    <row r="156" ht="38.25" customHeight="1" x14ac:dyDescent="0.25"/>
    <row r="157" ht="38.25" customHeight="1" x14ac:dyDescent="0.25"/>
    <row r="158" ht="38.25" customHeight="1" x14ac:dyDescent="0.25"/>
    <row r="159" ht="38.25" customHeight="1" x14ac:dyDescent="0.25"/>
    <row r="160" ht="38.25" customHeight="1" x14ac:dyDescent="0.25"/>
    <row r="161" ht="38.25" customHeight="1" x14ac:dyDescent="0.25"/>
    <row r="162" ht="38.25" customHeight="1" x14ac:dyDescent="0.25"/>
    <row r="163" ht="38.25" customHeight="1" x14ac:dyDescent="0.25"/>
    <row r="164" ht="38.25" customHeight="1" x14ac:dyDescent="0.25"/>
    <row r="165" ht="38.25" customHeight="1" x14ac:dyDescent="0.25"/>
    <row r="166" ht="38.25" customHeight="1" x14ac:dyDescent="0.25"/>
    <row r="167" ht="38.25" customHeight="1" x14ac:dyDescent="0.25"/>
    <row r="168" ht="38.25" customHeight="1" x14ac:dyDescent="0.25"/>
    <row r="169" ht="38.25" customHeight="1" x14ac:dyDescent="0.25"/>
    <row r="170" ht="38.25" customHeight="1" x14ac:dyDescent="0.25"/>
    <row r="171" ht="38.25" customHeight="1" x14ac:dyDescent="0.25"/>
    <row r="172" ht="38.25" customHeight="1" x14ac:dyDescent="0.25"/>
    <row r="173" ht="38.25" customHeight="1" x14ac:dyDescent="0.25"/>
    <row r="174" ht="38.25" customHeight="1" x14ac:dyDescent="0.25"/>
    <row r="175" ht="38.25" customHeight="1" x14ac:dyDescent="0.25"/>
    <row r="176" ht="38.25" customHeight="1" x14ac:dyDescent="0.25"/>
    <row r="177" ht="38.25" customHeight="1" x14ac:dyDescent="0.25"/>
    <row r="178" ht="38.25" customHeight="1" x14ac:dyDescent="0.25"/>
  </sheetData>
  <pageMargins left="0.70866141732283472" right="0.70866141732283472" top="0.74803149606299213" bottom="0.74803149606299213" header="0.31496062992125984" footer="0.31496062992125984"/>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99"/>
  </sheetPr>
  <dimension ref="A1:Y100"/>
  <sheetViews>
    <sheetView topLeftCell="F55" workbookViewId="0">
      <selection activeCell="R41" sqref="R41:R71"/>
    </sheetView>
  </sheetViews>
  <sheetFormatPr defaultRowHeight="12.75" x14ac:dyDescent="0.2"/>
  <cols>
    <col min="1" max="1" width="17.85546875" style="62" customWidth="1"/>
    <col min="2" max="2" width="16.85546875" style="62" customWidth="1"/>
    <col min="3" max="3" width="14.5703125" style="62" customWidth="1"/>
    <col min="4" max="5" width="15.85546875" style="62" customWidth="1"/>
    <col min="6" max="6" width="17.140625" style="62" customWidth="1"/>
    <col min="7" max="7" width="13.140625" style="62" customWidth="1"/>
    <col min="8" max="8" width="12.140625" style="62" customWidth="1"/>
    <col min="9" max="9" width="12.85546875" style="62" customWidth="1"/>
    <col min="10" max="10" width="14.42578125" style="62" customWidth="1"/>
    <col min="11" max="11" width="12.7109375" style="62" customWidth="1"/>
    <col min="12" max="12" width="31.7109375" style="62" customWidth="1"/>
    <col min="13" max="13" width="12.5703125" style="62" customWidth="1"/>
    <col min="14" max="14" width="17" style="62" customWidth="1"/>
    <col min="15" max="15" width="13.140625" style="62" customWidth="1"/>
    <col min="16" max="19" width="14.7109375" style="62" customWidth="1"/>
    <col min="20" max="20" width="17.140625" style="62" customWidth="1"/>
    <col min="21" max="21" width="12.5703125" style="62" customWidth="1"/>
    <col min="22" max="22" width="9.85546875" style="62" customWidth="1"/>
    <col min="23" max="23" width="14.7109375" style="62" customWidth="1"/>
    <col min="24" max="24" width="19.140625" style="62" customWidth="1"/>
    <col min="25" max="25" width="20.28515625" style="62" customWidth="1"/>
    <col min="26" max="26" width="13" style="62" customWidth="1"/>
    <col min="27" max="256" width="9.140625" style="62"/>
    <col min="257" max="257" width="17.85546875" style="62" customWidth="1"/>
    <col min="258" max="258" width="16.85546875" style="62" customWidth="1"/>
    <col min="259" max="259" width="14.5703125" style="62" customWidth="1"/>
    <col min="260" max="261" width="15.85546875" style="62" customWidth="1"/>
    <col min="262" max="262" width="17.140625" style="62" customWidth="1"/>
    <col min="263" max="263" width="13.140625" style="62" customWidth="1"/>
    <col min="264" max="264" width="12.140625" style="62" customWidth="1"/>
    <col min="265" max="265" width="12.85546875" style="62" customWidth="1"/>
    <col min="266" max="266" width="14.42578125" style="62" customWidth="1"/>
    <col min="267" max="267" width="12.7109375" style="62" customWidth="1"/>
    <col min="268" max="268" width="17.5703125" style="62" customWidth="1"/>
    <col min="269" max="269" width="12.5703125" style="62" customWidth="1"/>
    <col min="270" max="270" width="17" style="62" customWidth="1"/>
    <col min="271" max="271" width="13.140625" style="62" customWidth="1"/>
    <col min="272" max="276" width="14.7109375" style="62" customWidth="1"/>
    <col min="277" max="277" width="12.5703125" style="62" customWidth="1"/>
    <col min="278" max="278" width="9.85546875" style="62" customWidth="1"/>
    <col min="279" max="279" width="14.7109375" style="62" customWidth="1"/>
    <col min="280" max="280" width="19.140625" style="62" customWidth="1"/>
    <col min="281" max="281" width="20.28515625" style="62" customWidth="1"/>
    <col min="282" max="282" width="13" style="62" customWidth="1"/>
    <col min="283" max="512" width="9.140625" style="62"/>
    <col min="513" max="513" width="17.85546875" style="62" customWidth="1"/>
    <col min="514" max="514" width="16.85546875" style="62" customWidth="1"/>
    <col min="515" max="515" width="14.5703125" style="62" customWidth="1"/>
    <col min="516" max="517" width="15.85546875" style="62" customWidth="1"/>
    <col min="518" max="518" width="17.140625" style="62" customWidth="1"/>
    <col min="519" max="519" width="13.140625" style="62" customWidth="1"/>
    <col min="520" max="520" width="12.140625" style="62" customWidth="1"/>
    <col min="521" max="521" width="12.85546875" style="62" customWidth="1"/>
    <col min="522" max="522" width="14.42578125" style="62" customWidth="1"/>
    <col min="523" max="523" width="12.7109375" style="62" customWidth="1"/>
    <col min="524" max="524" width="17.5703125" style="62" customWidth="1"/>
    <col min="525" max="525" width="12.5703125" style="62" customWidth="1"/>
    <col min="526" max="526" width="17" style="62" customWidth="1"/>
    <col min="527" max="527" width="13.140625" style="62" customWidth="1"/>
    <col min="528" max="532" width="14.7109375" style="62" customWidth="1"/>
    <col min="533" max="533" width="12.5703125" style="62" customWidth="1"/>
    <col min="534" max="534" width="9.85546875" style="62" customWidth="1"/>
    <col min="535" max="535" width="14.7109375" style="62" customWidth="1"/>
    <col min="536" max="536" width="19.140625" style="62" customWidth="1"/>
    <col min="537" max="537" width="20.28515625" style="62" customWidth="1"/>
    <col min="538" max="538" width="13" style="62" customWidth="1"/>
    <col min="539" max="768" width="9.140625" style="62"/>
    <col min="769" max="769" width="17.85546875" style="62" customWidth="1"/>
    <col min="770" max="770" width="16.85546875" style="62" customWidth="1"/>
    <col min="771" max="771" width="14.5703125" style="62" customWidth="1"/>
    <col min="772" max="773" width="15.85546875" style="62" customWidth="1"/>
    <col min="774" max="774" width="17.140625" style="62" customWidth="1"/>
    <col min="775" max="775" width="13.140625" style="62" customWidth="1"/>
    <col min="776" max="776" width="12.140625" style="62" customWidth="1"/>
    <col min="777" max="777" width="12.85546875" style="62" customWidth="1"/>
    <col min="778" max="778" width="14.42578125" style="62" customWidth="1"/>
    <col min="779" max="779" width="12.7109375" style="62" customWidth="1"/>
    <col min="780" max="780" width="17.5703125" style="62" customWidth="1"/>
    <col min="781" max="781" width="12.5703125" style="62" customWidth="1"/>
    <col min="782" max="782" width="17" style="62" customWidth="1"/>
    <col min="783" max="783" width="13.140625" style="62" customWidth="1"/>
    <col min="784" max="788" width="14.7109375" style="62" customWidth="1"/>
    <col min="789" max="789" width="12.5703125" style="62" customWidth="1"/>
    <col min="790" max="790" width="9.85546875" style="62" customWidth="1"/>
    <col min="791" max="791" width="14.7109375" style="62" customWidth="1"/>
    <col min="792" max="792" width="19.140625" style="62" customWidth="1"/>
    <col min="793" max="793" width="20.28515625" style="62" customWidth="1"/>
    <col min="794" max="794" width="13" style="62" customWidth="1"/>
    <col min="795" max="1024" width="9.140625" style="62"/>
    <col min="1025" max="1025" width="17.85546875" style="62" customWidth="1"/>
    <col min="1026" max="1026" width="16.85546875" style="62" customWidth="1"/>
    <col min="1027" max="1027" width="14.5703125" style="62" customWidth="1"/>
    <col min="1028" max="1029" width="15.85546875" style="62" customWidth="1"/>
    <col min="1030" max="1030" width="17.140625" style="62" customWidth="1"/>
    <col min="1031" max="1031" width="13.140625" style="62" customWidth="1"/>
    <col min="1032" max="1032" width="12.140625" style="62" customWidth="1"/>
    <col min="1033" max="1033" width="12.85546875" style="62" customWidth="1"/>
    <col min="1034" max="1034" width="14.42578125" style="62" customWidth="1"/>
    <col min="1035" max="1035" width="12.7109375" style="62" customWidth="1"/>
    <col min="1036" max="1036" width="17.5703125" style="62" customWidth="1"/>
    <col min="1037" max="1037" width="12.5703125" style="62" customWidth="1"/>
    <col min="1038" max="1038" width="17" style="62" customWidth="1"/>
    <col min="1039" max="1039" width="13.140625" style="62" customWidth="1"/>
    <col min="1040" max="1044" width="14.7109375" style="62" customWidth="1"/>
    <col min="1045" max="1045" width="12.5703125" style="62" customWidth="1"/>
    <col min="1046" max="1046" width="9.85546875" style="62" customWidth="1"/>
    <col min="1047" max="1047" width="14.7109375" style="62" customWidth="1"/>
    <col min="1048" max="1048" width="19.140625" style="62" customWidth="1"/>
    <col min="1049" max="1049" width="20.28515625" style="62" customWidth="1"/>
    <col min="1050" max="1050" width="13" style="62" customWidth="1"/>
    <col min="1051" max="1280" width="9.140625" style="62"/>
    <col min="1281" max="1281" width="17.85546875" style="62" customWidth="1"/>
    <col min="1282" max="1282" width="16.85546875" style="62" customWidth="1"/>
    <col min="1283" max="1283" width="14.5703125" style="62" customWidth="1"/>
    <col min="1284" max="1285" width="15.85546875" style="62" customWidth="1"/>
    <col min="1286" max="1286" width="17.140625" style="62" customWidth="1"/>
    <col min="1287" max="1287" width="13.140625" style="62" customWidth="1"/>
    <col min="1288" max="1288" width="12.140625" style="62" customWidth="1"/>
    <col min="1289" max="1289" width="12.85546875" style="62" customWidth="1"/>
    <col min="1290" max="1290" width="14.42578125" style="62" customWidth="1"/>
    <col min="1291" max="1291" width="12.7109375" style="62" customWidth="1"/>
    <col min="1292" max="1292" width="17.5703125" style="62" customWidth="1"/>
    <col min="1293" max="1293" width="12.5703125" style="62" customWidth="1"/>
    <col min="1294" max="1294" width="17" style="62" customWidth="1"/>
    <col min="1295" max="1295" width="13.140625" style="62" customWidth="1"/>
    <col min="1296" max="1300" width="14.7109375" style="62" customWidth="1"/>
    <col min="1301" max="1301" width="12.5703125" style="62" customWidth="1"/>
    <col min="1302" max="1302" width="9.85546875" style="62" customWidth="1"/>
    <col min="1303" max="1303" width="14.7109375" style="62" customWidth="1"/>
    <col min="1304" max="1304" width="19.140625" style="62" customWidth="1"/>
    <col min="1305" max="1305" width="20.28515625" style="62" customWidth="1"/>
    <col min="1306" max="1306" width="13" style="62" customWidth="1"/>
    <col min="1307" max="1536" width="9.140625" style="62"/>
    <col min="1537" max="1537" width="17.85546875" style="62" customWidth="1"/>
    <col min="1538" max="1538" width="16.85546875" style="62" customWidth="1"/>
    <col min="1539" max="1539" width="14.5703125" style="62" customWidth="1"/>
    <col min="1540" max="1541" width="15.85546875" style="62" customWidth="1"/>
    <col min="1542" max="1542" width="17.140625" style="62" customWidth="1"/>
    <col min="1543" max="1543" width="13.140625" style="62" customWidth="1"/>
    <col min="1544" max="1544" width="12.140625" style="62" customWidth="1"/>
    <col min="1545" max="1545" width="12.85546875" style="62" customWidth="1"/>
    <col min="1546" max="1546" width="14.42578125" style="62" customWidth="1"/>
    <col min="1547" max="1547" width="12.7109375" style="62" customWidth="1"/>
    <col min="1548" max="1548" width="17.5703125" style="62" customWidth="1"/>
    <col min="1549" max="1549" width="12.5703125" style="62" customWidth="1"/>
    <col min="1550" max="1550" width="17" style="62" customWidth="1"/>
    <col min="1551" max="1551" width="13.140625" style="62" customWidth="1"/>
    <col min="1552" max="1556" width="14.7109375" style="62" customWidth="1"/>
    <col min="1557" max="1557" width="12.5703125" style="62" customWidth="1"/>
    <col min="1558" max="1558" width="9.85546875" style="62" customWidth="1"/>
    <col min="1559" max="1559" width="14.7109375" style="62" customWidth="1"/>
    <col min="1560" max="1560" width="19.140625" style="62" customWidth="1"/>
    <col min="1561" max="1561" width="20.28515625" style="62" customWidth="1"/>
    <col min="1562" max="1562" width="13" style="62" customWidth="1"/>
    <col min="1563" max="1792" width="9.140625" style="62"/>
    <col min="1793" max="1793" width="17.85546875" style="62" customWidth="1"/>
    <col min="1794" max="1794" width="16.85546875" style="62" customWidth="1"/>
    <col min="1795" max="1795" width="14.5703125" style="62" customWidth="1"/>
    <col min="1796" max="1797" width="15.85546875" style="62" customWidth="1"/>
    <col min="1798" max="1798" width="17.140625" style="62" customWidth="1"/>
    <col min="1799" max="1799" width="13.140625" style="62" customWidth="1"/>
    <col min="1800" max="1800" width="12.140625" style="62" customWidth="1"/>
    <col min="1801" max="1801" width="12.85546875" style="62" customWidth="1"/>
    <col min="1802" max="1802" width="14.42578125" style="62" customWidth="1"/>
    <col min="1803" max="1803" width="12.7109375" style="62" customWidth="1"/>
    <col min="1804" max="1804" width="17.5703125" style="62" customWidth="1"/>
    <col min="1805" max="1805" width="12.5703125" style="62" customWidth="1"/>
    <col min="1806" max="1806" width="17" style="62" customWidth="1"/>
    <col min="1807" max="1807" width="13.140625" style="62" customWidth="1"/>
    <col min="1808" max="1812" width="14.7109375" style="62" customWidth="1"/>
    <col min="1813" max="1813" width="12.5703125" style="62" customWidth="1"/>
    <col min="1814" max="1814" width="9.85546875" style="62" customWidth="1"/>
    <col min="1815" max="1815" width="14.7109375" style="62" customWidth="1"/>
    <col min="1816" max="1816" width="19.140625" style="62" customWidth="1"/>
    <col min="1817" max="1817" width="20.28515625" style="62" customWidth="1"/>
    <col min="1818" max="1818" width="13" style="62" customWidth="1"/>
    <col min="1819" max="2048" width="9.140625" style="62"/>
    <col min="2049" max="2049" width="17.85546875" style="62" customWidth="1"/>
    <col min="2050" max="2050" width="16.85546875" style="62" customWidth="1"/>
    <col min="2051" max="2051" width="14.5703125" style="62" customWidth="1"/>
    <col min="2052" max="2053" width="15.85546875" style="62" customWidth="1"/>
    <col min="2054" max="2054" width="17.140625" style="62" customWidth="1"/>
    <col min="2055" max="2055" width="13.140625" style="62" customWidth="1"/>
    <col min="2056" max="2056" width="12.140625" style="62" customWidth="1"/>
    <col min="2057" max="2057" width="12.85546875" style="62" customWidth="1"/>
    <col min="2058" max="2058" width="14.42578125" style="62" customWidth="1"/>
    <col min="2059" max="2059" width="12.7109375" style="62" customWidth="1"/>
    <col min="2060" max="2060" width="17.5703125" style="62" customWidth="1"/>
    <col min="2061" max="2061" width="12.5703125" style="62" customWidth="1"/>
    <col min="2062" max="2062" width="17" style="62" customWidth="1"/>
    <col min="2063" max="2063" width="13.140625" style="62" customWidth="1"/>
    <col min="2064" max="2068" width="14.7109375" style="62" customWidth="1"/>
    <col min="2069" max="2069" width="12.5703125" style="62" customWidth="1"/>
    <col min="2070" max="2070" width="9.85546875" style="62" customWidth="1"/>
    <col min="2071" max="2071" width="14.7109375" style="62" customWidth="1"/>
    <col min="2072" max="2072" width="19.140625" style="62" customWidth="1"/>
    <col min="2073" max="2073" width="20.28515625" style="62" customWidth="1"/>
    <col min="2074" max="2074" width="13" style="62" customWidth="1"/>
    <col min="2075" max="2304" width="9.140625" style="62"/>
    <col min="2305" max="2305" width="17.85546875" style="62" customWidth="1"/>
    <col min="2306" max="2306" width="16.85546875" style="62" customWidth="1"/>
    <col min="2307" max="2307" width="14.5703125" style="62" customWidth="1"/>
    <col min="2308" max="2309" width="15.85546875" style="62" customWidth="1"/>
    <col min="2310" max="2310" width="17.140625" style="62" customWidth="1"/>
    <col min="2311" max="2311" width="13.140625" style="62" customWidth="1"/>
    <col min="2312" max="2312" width="12.140625" style="62" customWidth="1"/>
    <col min="2313" max="2313" width="12.85546875" style="62" customWidth="1"/>
    <col min="2314" max="2314" width="14.42578125" style="62" customWidth="1"/>
    <col min="2315" max="2315" width="12.7109375" style="62" customWidth="1"/>
    <col min="2316" max="2316" width="17.5703125" style="62" customWidth="1"/>
    <col min="2317" max="2317" width="12.5703125" style="62" customWidth="1"/>
    <col min="2318" max="2318" width="17" style="62" customWidth="1"/>
    <col min="2319" max="2319" width="13.140625" style="62" customWidth="1"/>
    <col min="2320" max="2324" width="14.7109375" style="62" customWidth="1"/>
    <col min="2325" max="2325" width="12.5703125" style="62" customWidth="1"/>
    <col min="2326" max="2326" width="9.85546875" style="62" customWidth="1"/>
    <col min="2327" max="2327" width="14.7109375" style="62" customWidth="1"/>
    <col min="2328" max="2328" width="19.140625" style="62" customWidth="1"/>
    <col min="2329" max="2329" width="20.28515625" style="62" customWidth="1"/>
    <col min="2330" max="2330" width="13" style="62" customWidth="1"/>
    <col min="2331" max="2560" width="9.140625" style="62"/>
    <col min="2561" max="2561" width="17.85546875" style="62" customWidth="1"/>
    <col min="2562" max="2562" width="16.85546875" style="62" customWidth="1"/>
    <col min="2563" max="2563" width="14.5703125" style="62" customWidth="1"/>
    <col min="2564" max="2565" width="15.85546875" style="62" customWidth="1"/>
    <col min="2566" max="2566" width="17.140625" style="62" customWidth="1"/>
    <col min="2567" max="2567" width="13.140625" style="62" customWidth="1"/>
    <col min="2568" max="2568" width="12.140625" style="62" customWidth="1"/>
    <col min="2569" max="2569" width="12.85546875" style="62" customWidth="1"/>
    <col min="2570" max="2570" width="14.42578125" style="62" customWidth="1"/>
    <col min="2571" max="2571" width="12.7109375" style="62" customWidth="1"/>
    <col min="2572" max="2572" width="17.5703125" style="62" customWidth="1"/>
    <col min="2573" max="2573" width="12.5703125" style="62" customWidth="1"/>
    <col min="2574" max="2574" width="17" style="62" customWidth="1"/>
    <col min="2575" max="2575" width="13.140625" style="62" customWidth="1"/>
    <col min="2576" max="2580" width="14.7109375" style="62" customWidth="1"/>
    <col min="2581" max="2581" width="12.5703125" style="62" customWidth="1"/>
    <col min="2582" max="2582" width="9.85546875" style="62" customWidth="1"/>
    <col min="2583" max="2583" width="14.7109375" style="62" customWidth="1"/>
    <col min="2584" max="2584" width="19.140625" style="62" customWidth="1"/>
    <col min="2585" max="2585" width="20.28515625" style="62" customWidth="1"/>
    <col min="2586" max="2586" width="13" style="62" customWidth="1"/>
    <col min="2587" max="2816" width="9.140625" style="62"/>
    <col min="2817" max="2817" width="17.85546875" style="62" customWidth="1"/>
    <col min="2818" max="2818" width="16.85546875" style="62" customWidth="1"/>
    <col min="2819" max="2819" width="14.5703125" style="62" customWidth="1"/>
    <col min="2820" max="2821" width="15.85546875" style="62" customWidth="1"/>
    <col min="2822" max="2822" width="17.140625" style="62" customWidth="1"/>
    <col min="2823" max="2823" width="13.140625" style="62" customWidth="1"/>
    <col min="2824" max="2824" width="12.140625" style="62" customWidth="1"/>
    <col min="2825" max="2825" width="12.85546875" style="62" customWidth="1"/>
    <col min="2826" max="2826" width="14.42578125" style="62" customWidth="1"/>
    <col min="2827" max="2827" width="12.7109375" style="62" customWidth="1"/>
    <col min="2828" max="2828" width="17.5703125" style="62" customWidth="1"/>
    <col min="2829" max="2829" width="12.5703125" style="62" customWidth="1"/>
    <col min="2830" max="2830" width="17" style="62" customWidth="1"/>
    <col min="2831" max="2831" width="13.140625" style="62" customWidth="1"/>
    <col min="2832" max="2836" width="14.7109375" style="62" customWidth="1"/>
    <col min="2837" max="2837" width="12.5703125" style="62" customWidth="1"/>
    <col min="2838" max="2838" width="9.85546875" style="62" customWidth="1"/>
    <col min="2839" max="2839" width="14.7109375" style="62" customWidth="1"/>
    <col min="2840" max="2840" width="19.140625" style="62" customWidth="1"/>
    <col min="2841" max="2841" width="20.28515625" style="62" customWidth="1"/>
    <col min="2842" max="2842" width="13" style="62" customWidth="1"/>
    <col min="2843" max="3072" width="9.140625" style="62"/>
    <col min="3073" max="3073" width="17.85546875" style="62" customWidth="1"/>
    <col min="3074" max="3074" width="16.85546875" style="62" customWidth="1"/>
    <col min="3075" max="3075" width="14.5703125" style="62" customWidth="1"/>
    <col min="3076" max="3077" width="15.85546875" style="62" customWidth="1"/>
    <col min="3078" max="3078" width="17.140625" style="62" customWidth="1"/>
    <col min="3079" max="3079" width="13.140625" style="62" customWidth="1"/>
    <col min="3080" max="3080" width="12.140625" style="62" customWidth="1"/>
    <col min="3081" max="3081" width="12.85546875" style="62" customWidth="1"/>
    <col min="3082" max="3082" width="14.42578125" style="62" customWidth="1"/>
    <col min="3083" max="3083" width="12.7109375" style="62" customWidth="1"/>
    <col min="3084" max="3084" width="17.5703125" style="62" customWidth="1"/>
    <col min="3085" max="3085" width="12.5703125" style="62" customWidth="1"/>
    <col min="3086" max="3086" width="17" style="62" customWidth="1"/>
    <col min="3087" max="3087" width="13.140625" style="62" customWidth="1"/>
    <col min="3088" max="3092" width="14.7109375" style="62" customWidth="1"/>
    <col min="3093" max="3093" width="12.5703125" style="62" customWidth="1"/>
    <col min="3094" max="3094" width="9.85546875" style="62" customWidth="1"/>
    <col min="3095" max="3095" width="14.7109375" style="62" customWidth="1"/>
    <col min="3096" max="3096" width="19.140625" style="62" customWidth="1"/>
    <col min="3097" max="3097" width="20.28515625" style="62" customWidth="1"/>
    <col min="3098" max="3098" width="13" style="62" customWidth="1"/>
    <col min="3099" max="3328" width="9.140625" style="62"/>
    <col min="3329" max="3329" width="17.85546875" style="62" customWidth="1"/>
    <col min="3330" max="3330" width="16.85546875" style="62" customWidth="1"/>
    <col min="3331" max="3331" width="14.5703125" style="62" customWidth="1"/>
    <col min="3332" max="3333" width="15.85546875" style="62" customWidth="1"/>
    <col min="3334" max="3334" width="17.140625" style="62" customWidth="1"/>
    <col min="3335" max="3335" width="13.140625" style="62" customWidth="1"/>
    <col min="3336" max="3336" width="12.140625" style="62" customWidth="1"/>
    <col min="3337" max="3337" width="12.85546875" style="62" customWidth="1"/>
    <col min="3338" max="3338" width="14.42578125" style="62" customWidth="1"/>
    <col min="3339" max="3339" width="12.7109375" style="62" customWidth="1"/>
    <col min="3340" max="3340" width="17.5703125" style="62" customWidth="1"/>
    <col min="3341" max="3341" width="12.5703125" style="62" customWidth="1"/>
    <col min="3342" max="3342" width="17" style="62" customWidth="1"/>
    <col min="3343" max="3343" width="13.140625" style="62" customWidth="1"/>
    <col min="3344" max="3348" width="14.7109375" style="62" customWidth="1"/>
    <col min="3349" max="3349" width="12.5703125" style="62" customWidth="1"/>
    <col min="3350" max="3350" width="9.85546875" style="62" customWidth="1"/>
    <col min="3351" max="3351" width="14.7109375" style="62" customWidth="1"/>
    <col min="3352" max="3352" width="19.140625" style="62" customWidth="1"/>
    <col min="3353" max="3353" width="20.28515625" style="62" customWidth="1"/>
    <col min="3354" max="3354" width="13" style="62" customWidth="1"/>
    <col min="3355" max="3584" width="9.140625" style="62"/>
    <col min="3585" max="3585" width="17.85546875" style="62" customWidth="1"/>
    <col min="3586" max="3586" width="16.85546875" style="62" customWidth="1"/>
    <col min="3587" max="3587" width="14.5703125" style="62" customWidth="1"/>
    <col min="3588" max="3589" width="15.85546875" style="62" customWidth="1"/>
    <col min="3590" max="3590" width="17.140625" style="62" customWidth="1"/>
    <col min="3591" max="3591" width="13.140625" style="62" customWidth="1"/>
    <col min="3592" max="3592" width="12.140625" style="62" customWidth="1"/>
    <col min="3593" max="3593" width="12.85546875" style="62" customWidth="1"/>
    <col min="3594" max="3594" width="14.42578125" style="62" customWidth="1"/>
    <col min="3595" max="3595" width="12.7109375" style="62" customWidth="1"/>
    <col min="3596" max="3596" width="17.5703125" style="62" customWidth="1"/>
    <col min="3597" max="3597" width="12.5703125" style="62" customWidth="1"/>
    <col min="3598" max="3598" width="17" style="62" customWidth="1"/>
    <col min="3599" max="3599" width="13.140625" style="62" customWidth="1"/>
    <col min="3600" max="3604" width="14.7109375" style="62" customWidth="1"/>
    <col min="3605" max="3605" width="12.5703125" style="62" customWidth="1"/>
    <col min="3606" max="3606" width="9.85546875" style="62" customWidth="1"/>
    <col min="3607" max="3607" width="14.7109375" style="62" customWidth="1"/>
    <col min="3608" max="3608" width="19.140625" style="62" customWidth="1"/>
    <col min="3609" max="3609" width="20.28515625" style="62" customWidth="1"/>
    <col min="3610" max="3610" width="13" style="62" customWidth="1"/>
    <col min="3611" max="3840" width="9.140625" style="62"/>
    <col min="3841" max="3841" width="17.85546875" style="62" customWidth="1"/>
    <col min="3842" max="3842" width="16.85546875" style="62" customWidth="1"/>
    <col min="3843" max="3843" width="14.5703125" style="62" customWidth="1"/>
    <col min="3844" max="3845" width="15.85546875" style="62" customWidth="1"/>
    <col min="3846" max="3846" width="17.140625" style="62" customWidth="1"/>
    <col min="3847" max="3847" width="13.140625" style="62" customWidth="1"/>
    <col min="3848" max="3848" width="12.140625" style="62" customWidth="1"/>
    <col min="3849" max="3849" width="12.85546875" style="62" customWidth="1"/>
    <col min="3850" max="3850" width="14.42578125" style="62" customWidth="1"/>
    <col min="3851" max="3851" width="12.7109375" style="62" customWidth="1"/>
    <col min="3852" max="3852" width="17.5703125" style="62" customWidth="1"/>
    <col min="3853" max="3853" width="12.5703125" style="62" customWidth="1"/>
    <col min="3854" max="3854" width="17" style="62" customWidth="1"/>
    <col min="3855" max="3855" width="13.140625" style="62" customWidth="1"/>
    <col min="3856" max="3860" width="14.7109375" style="62" customWidth="1"/>
    <col min="3861" max="3861" width="12.5703125" style="62" customWidth="1"/>
    <col min="3862" max="3862" width="9.85546875" style="62" customWidth="1"/>
    <col min="3863" max="3863" width="14.7109375" style="62" customWidth="1"/>
    <col min="3864" max="3864" width="19.140625" style="62" customWidth="1"/>
    <col min="3865" max="3865" width="20.28515625" style="62" customWidth="1"/>
    <col min="3866" max="3866" width="13" style="62" customWidth="1"/>
    <col min="3867" max="4096" width="9.140625" style="62"/>
    <col min="4097" max="4097" width="17.85546875" style="62" customWidth="1"/>
    <col min="4098" max="4098" width="16.85546875" style="62" customWidth="1"/>
    <col min="4099" max="4099" width="14.5703125" style="62" customWidth="1"/>
    <col min="4100" max="4101" width="15.85546875" style="62" customWidth="1"/>
    <col min="4102" max="4102" width="17.140625" style="62" customWidth="1"/>
    <col min="4103" max="4103" width="13.140625" style="62" customWidth="1"/>
    <col min="4104" max="4104" width="12.140625" style="62" customWidth="1"/>
    <col min="4105" max="4105" width="12.85546875" style="62" customWidth="1"/>
    <col min="4106" max="4106" width="14.42578125" style="62" customWidth="1"/>
    <col min="4107" max="4107" width="12.7109375" style="62" customWidth="1"/>
    <col min="4108" max="4108" width="17.5703125" style="62" customWidth="1"/>
    <col min="4109" max="4109" width="12.5703125" style="62" customWidth="1"/>
    <col min="4110" max="4110" width="17" style="62" customWidth="1"/>
    <col min="4111" max="4111" width="13.140625" style="62" customWidth="1"/>
    <col min="4112" max="4116" width="14.7109375" style="62" customWidth="1"/>
    <col min="4117" max="4117" width="12.5703125" style="62" customWidth="1"/>
    <col min="4118" max="4118" width="9.85546875" style="62" customWidth="1"/>
    <col min="4119" max="4119" width="14.7109375" style="62" customWidth="1"/>
    <col min="4120" max="4120" width="19.140625" style="62" customWidth="1"/>
    <col min="4121" max="4121" width="20.28515625" style="62" customWidth="1"/>
    <col min="4122" max="4122" width="13" style="62" customWidth="1"/>
    <col min="4123" max="4352" width="9.140625" style="62"/>
    <col min="4353" max="4353" width="17.85546875" style="62" customWidth="1"/>
    <col min="4354" max="4354" width="16.85546875" style="62" customWidth="1"/>
    <col min="4355" max="4355" width="14.5703125" style="62" customWidth="1"/>
    <col min="4356" max="4357" width="15.85546875" style="62" customWidth="1"/>
    <col min="4358" max="4358" width="17.140625" style="62" customWidth="1"/>
    <col min="4359" max="4359" width="13.140625" style="62" customWidth="1"/>
    <col min="4360" max="4360" width="12.140625" style="62" customWidth="1"/>
    <col min="4361" max="4361" width="12.85546875" style="62" customWidth="1"/>
    <col min="4362" max="4362" width="14.42578125" style="62" customWidth="1"/>
    <col min="4363" max="4363" width="12.7109375" style="62" customWidth="1"/>
    <col min="4364" max="4364" width="17.5703125" style="62" customWidth="1"/>
    <col min="4365" max="4365" width="12.5703125" style="62" customWidth="1"/>
    <col min="4366" max="4366" width="17" style="62" customWidth="1"/>
    <col min="4367" max="4367" width="13.140625" style="62" customWidth="1"/>
    <col min="4368" max="4372" width="14.7109375" style="62" customWidth="1"/>
    <col min="4373" max="4373" width="12.5703125" style="62" customWidth="1"/>
    <col min="4374" max="4374" width="9.85546875" style="62" customWidth="1"/>
    <col min="4375" max="4375" width="14.7109375" style="62" customWidth="1"/>
    <col min="4376" max="4376" width="19.140625" style="62" customWidth="1"/>
    <col min="4377" max="4377" width="20.28515625" style="62" customWidth="1"/>
    <col min="4378" max="4378" width="13" style="62" customWidth="1"/>
    <col min="4379" max="4608" width="9.140625" style="62"/>
    <col min="4609" max="4609" width="17.85546875" style="62" customWidth="1"/>
    <col min="4610" max="4610" width="16.85546875" style="62" customWidth="1"/>
    <col min="4611" max="4611" width="14.5703125" style="62" customWidth="1"/>
    <col min="4612" max="4613" width="15.85546875" style="62" customWidth="1"/>
    <col min="4614" max="4614" width="17.140625" style="62" customWidth="1"/>
    <col min="4615" max="4615" width="13.140625" style="62" customWidth="1"/>
    <col min="4616" max="4616" width="12.140625" style="62" customWidth="1"/>
    <col min="4617" max="4617" width="12.85546875" style="62" customWidth="1"/>
    <col min="4618" max="4618" width="14.42578125" style="62" customWidth="1"/>
    <col min="4619" max="4619" width="12.7109375" style="62" customWidth="1"/>
    <col min="4620" max="4620" width="17.5703125" style="62" customWidth="1"/>
    <col min="4621" max="4621" width="12.5703125" style="62" customWidth="1"/>
    <col min="4622" max="4622" width="17" style="62" customWidth="1"/>
    <col min="4623" max="4623" width="13.140625" style="62" customWidth="1"/>
    <col min="4624" max="4628" width="14.7109375" style="62" customWidth="1"/>
    <col min="4629" max="4629" width="12.5703125" style="62" customWidth="1"/>
    <col min="4630" max="4630" width="9.85546875" style="62" customWidth="1"/>
    <col min="4631" max="4631" width="14.7109375" style="62" customWidth="1"/>
    <col min="4632" max="4632" width="19.140625" style="62" customWidth="1"/>
    <col min="4633" max="4633" width="20.28515625" style="62" customWidth="1"/>
    <col min="4634" max="4634" width="13" style="62" customWidth="1"/>
    <col min="4635" max="4864" width="9.140625" style="62"/>
    <col min="4865" max="4865" width="17.85546875" style="62" customWidth="1"/>
    <col min="4866" max="4866" width="16.85546875" style="62" customWidth="1"/>
    <col min="4867" max="4867" width="14.5703125" style="62" customWidth="1"/>
    <col min="4868" max="4869" width="15.85546875" style="62" customWidth="1"/>
    <col min="4870" max="4870" width="17.140625" style="62" customWidth="1"/>
    <col min="4871" max="4871" width="13.140625" style="62" customWidth="1"/>
    <col min="4872" max="4872" width="12.140625" style="62" customWidth="1"/>
    <col min="4873" max="4873" width="12.85546875" style="62" customWidth="1"/>
    <col min="4874" max="4874" width="14.42578125" style="62" customWidth="1"/>
    <col min="4875" max="4875" width="12.7109375" style="62" customWidth="1"/>
    <col min="4876" max="4876" width="17.5703125" style="62" customWidth="1"/>
    <col min="4877" max="4877" width="12.5703125" style="62" customWidth="1"/>
    <col min="4878" max="4878" width="17" style="62" customWidth="1"/>
    <col min="4879" max="4879" width="13.140625" style="62" customWidth="1"/>
    <col min="4880" max="4884" width="14.7109375" style="62" customWidth="1"/>
    <col min="4885" max="4885" width="12.5703125" style="62" customWidth="1"/>
    <col min="4886" max="4886" width="9.85546875" style="62" customWidth="1"/>
    <col min="4887" max="4887" width="14.7109375" style="62" customWidth="1"/>
    <col min="4888" max="4888" width="19.140625" style="62" customWidth="1"/>
    <col min="4889" max="4889" width="20.28515625" style="62" customWidth="1"/>
    <col min="4890" max="4890" width="13" style="62" customWidth="1"/>
    <col min="4891" max="5120" width="9.140625" style="62"/>
    <col min="5121" max="5121" width="17.85546875" style="62" customWidth="1"/>
    <col min="5122" max="5122" width="16.85546875" style="62" customWidth="1"/>
    <col min="5123" max="5123" width="14.5703125" style="62" customWidth="1"/>
    <col min="5124" max="5125" width="15.85546875" style="62" customWidth="1"/>
    <col min="5126" max="5126" width="17.140625" style="62" customWidth="1"/>
    <col min="5127" max="5127" width="13.140625" style="62" customWidth="1"/>
    <col min="5128" max="5128" width="12.140625" style="62" customWidth="1"/>
    <col min="5129" max="5129" width="12.85546875" style="62" customWidth="1"/>
    <col min="5130" max="5130" width="14.42578125" style="62" customWidth="1"/>
    <col min="5131" max="5131" width="12.7109375" style="62" customWidth="1"/>
    <col min="5132" max="5132" width="17.5703125" style="62" customWidth="1"/>
    <col min="5133" max="5133" width="12.5703125" style="62" customWidth="1"/>
    <col min="5134" max="5134" width="17" style="62" customWidth="1"/>
    <col min="5135" max="5135" width="13.140625" style="62" customWidth="1"/>
    <col min="5136" max="5140" width="14.7109375" style="62" customWidth="1"/>
    <col min="5141" max="5141" width="12.5703125" style="62" customWidth="1"/>
    <col min="5142" max="5142" width="9.85546875" style="62" customWidth="1"/>
    <col min="5143" max="5143" width="14.7109375" style="62" customWidth="1"/>
    <col min="5144" max="5144" width="19.140625" style="62" customWidth="1"/>
    <col min="5145" max="5145" width="20.28515625" style="62" customWidth="1"/>
    <col min="5146" max="5146" width="13" style="62" customWidth="1"/>
    <col min="5147" max="5376" width="9.140625" style="62"/>
    <col min="5377" max="5377" width="17.85546875" style="62" customWidth="1"/>
    <col min="5378" max="5378" width="16.85546875" style="62" customWidth="1"/>
    <col min="5379" max="5379" width="14.5703125" style="62" customWidth="1"/>
    <col min="5380" max="5381" width="15.85546875" style="62" customWidth="1"/>
    <col min="5382" max="5382" width="17.140625" style="62" customWidth="1"/>
    <col min="5383" max="5383" width="13.140625" style="62" customWidth="1"/>
    <col min="5384" max="5384" width="12.140625" style="62" customWidth="1"/>
    <col min="5385" max="5385" width="12.85546875" style="62" customWidth="1"/>
    <col min="5386" max="5386" width="14.42578125" style="62" customWidth="1"/>
    <col min="5387" max="5387" width="12.7109375" style="62" customWidth="1"/>
    <col min="5388" max="5388" width="17.5703125" style="62" customWidth="1"/>
    <col min="5389" max="5389" width="12.5703125" style="62" customWidth="1"/>
    <col min="5390" max="5390" width="17" style="62" customWidth="1"/>
    <col min="5391" max="5391" width="13.140625" style="62" customWidth="1"/>
    <col min="5392" max="5396" width="14.7109375" style="62" customWidth="1"/>
    <col min="5397" max="5397" width="12.5703125" style="62" customWidth="1"/>
    <col min="5398" max="5398" width="9.85546875" style="62" customWidth="1"/>
    <col min="5399" max="5399" width="14.7109375" style="62" customWidth="1"/>
    <col min="5400" max="5400" width="19.140625" style="62" customWidth="1"/>
    <col min="5401" max="5401" width="20.28515625" style="62" customWidth="1"/>
    <col min="5402" max="5402" width="13" style="62" customWidth="1"/>
    <col min="5403" max="5632" width="9.140625" style="62"/>
    <col min="5633" max="5633" width="17.85546875" style="62" customWidth="1"/>
    <col min="5634" max="5634" width="16.85546875" style="62" customWidth="1"/>
    <col min="5635" max="5635" width="14.5703125" style="62" customWidth="1"/>
    <col min="5636" max="5637" width="15.85546875" style="62" customWidth="1"/>
    <col min="5638" max="5638" width="17.140625" style="62" customWidth="1"/>
    <col min="5639" max="5639" width="13.140625" style="62" customWidth="1"/>
    <col min="5640" max="5640" width="12.140625" style="62" customWidth="1"/>
    <col min="5641" max="5641" width="12.85546875" style="62" customWidth="1"/>
    <col min="5642" max="5642" width="14.42578125" style="62" customWidth="1"/>
    <col min="5643" max="5643" width="12.7109375" style="62" customWidth="1"/>
    <col min="5644" max="5644" width="17.5703125" style="62" customWidth="1"/>
    <col min="5645" max="5645" width="12.5703125" style="62" customWidth="1"/>
    <col min="5646" max="5646" width="17" style="62" customWidth="1"/>
    <col min="5647" max="5647" width="13.140625" style="62" customWidth="1"/>
    <col min="5648" max="5652" width="14.7109375" style="62" customWidth="1"/>
    <col min="5653" max="5653" width="12.5703125" style="62" customWidth="1"/>
    <col min="5654" max="5654" width="9.85546875" style="62" customWidth="1"/>
    <col min="5655" max="5655" width="14.7109375" style="62" customWidth="1"/>
    <col min="5656" max="5656" width="19.140625" style="62" customWidth="1"/>
    <col min="5657" max="5657" width="20.28515625" style="62" customWidth="1"/>
    <col min="5658" max="5658" width="13" style="62" customWidth="1"/>
    <col min="5659" max="5888" width="9.140625" style="62"/>
    <col min="5889" max="5889" width="17.85546875" style="62" customWidth="1"/>
    <col min="5890" max="5890" width="16.85546875" style="62" customWidth="1"/>
    <col min="5891" max="5891" width="14.5703125" style="62" customWidth="1"/>
    <col min="5892" max="5893" width="15.85546875" style="62" customWidth="1"/>
    <col min="5894" max="5894" width="17.140625" style="62" customWidth="1"/>
    <col min="5895" max="5895" width="13.140625" style="62" customWidth="1"/>
    <col min="5896" max="5896" width="12.140625" style="62" customWidth="1"/>
    <col min="5897" max="5897" width="12.85546875" style="62" customWidth="1"/>
    <col min="5898" max="5898" width="14.42578125" style="62" customWidth="1"/>
    <col min="5899" max="5899" width="12.7109375" style="62" customWidth="1"/>
    <col min="5900" max="5900" width="17.5703125" style="62" customWidth="1"/>
    <col min="5901" max="5901" width="12.5703125" style="62" customWidth="1"/>
    <col min="5902" max="5902" width="17" style="62" customWidth="1"/>
    <col min="5903" max="5903" width="13.140625" style="62" customWidth="1"/>
    <col min="5904" max="5908" width="14.7109375" style="62" customWidth="1"/>
    <col min="5909" max="5909" width="12.5703125" style="62" customWidth="1"/>
    <col min="5910" max="5910" width="9.85546875" style="62" customWidth="1"/>
    <col min="5911" max="5911" width="14.7109375" style="62" customWidth="1"/>
    <col min="5912" max="5912" width="19.140625" style="62" customWidth="1"/>
    <col min="5913" max="5913" width="20.28515625" style="62" customWidth="1"/>
    <col min="5914" max="5914" width="13" style="62" customWidth="1"/>
    <col min="5915" max="6144" width="9.140625" style="62"/>
    <col min="6145" max="6145" width="17.85546875" style="62" customWidth="1"/>
    <col min="6146" max="6146" width="16.85546875" style="62" customWidth="1"/>
    <col min="6147" max="6147" width="14.5703125" style="62" customWidth="1"/>
    <col min="6148" max="6149" width="15.85546875" style="62" customWidth="1"/>
    <col min="6150" max="6150" width="17.140625" style="62" customWidth="1"/>
    <col min="6151" max="6151" width="13.140625" style="62" customWidth="1"/>
    <col min="6152" max="6152" width="12.140625" style="62" customWidth="1"/>
    <col min="6153" max="6153" width="12.85546875" style="62" customWidth="1"/>
    <col min="6154" max="6154" width="14.42578125" style="62" customWidth="1"/>
    <col min="6155" max="6155" width="12.7109375" style="62" customWidth="1"/>
    <col min="6156" max="6156" width="17.5703125" style="62" customWidth="1"/>
    <col min="6157" max="6157" width="12.5703125" style="62" customWidth="1"/>
    <col min="6158" max="6158" width="17" style="62" customWidth="1"/>
    <col min="6159" max="6159" width="13.140625" style="62" customWidth="1"/>
    <col min="6160" max="6164" width="14.7109375" style="62" customWidth="1"/>
    <col min="6165" max="6165" width="12.5703125" style="62" customWidth="1"/>
    <col min="6166" max="6166" width="9.85546875" style="62" customWidth="1"/>
    <col min="6167" max="6167" width="14.7109375" style="62" customWidth="1"/>
    <col min="6168" max="6168" width="19.140625" style="62" customWidth="1"/>
    <col min="6169" max="6169" width="20.28515625" style="62" customWidth="1"/>
    <col min="6170" max="6170" width="13" style="62" customWidth="1"/>
    <col min="6171" max="6400" width="9.140625" style="62"/>
    <col min="6401" max="6401" width="17.85546875" style="62" customWidth="1"/>
    <col min="6402" max="6402" width="16.85546875" style="62" customWidth="1"/>
    <col min="6403" max="6403" width="14.5703125" style="62" customWidth="1"/>
    <col min="6404" max="6405" width="15.85546875" style="62" customWidth="1"/>
    <col min="6406" max="6406" width="17.140625" style="62" customWidth="1"/>
    <col min="6407" max="6407" width="13.140625" style="62" customWidth="1"/>
    <col min="6408" max="6408" width="12.140625" style="62" customWidth="1"/>
    <col min="6409" max="6409" width="12.85546875" style="62" customWidth="1"/>
    <col min="6410" max="6410" width="14.42578125" style="62" customWidth="1"/>
    <col min="6411" max="6411" width="12.7109375" style="62" customWidth="1"/>
    <col min="6412" max="6412" width="17.5703125" style="62" customWidth="1"/>
    <col min="6413" max="6413" width="12.5703125" style="62" customWidth="1"/>
    <col min="6414" max="6414" width="17" style="62" customWidth="1"/>
    <col min="6415" max="6415" width="13.140625" style="62" customWidth="1"/>
    <col min="6416" max="6420" width="14.7109375" style="62" customWidth="1"/>
    <col min="6421" max="6421" width="12.5703125" style="62" customWidth="1"/>
    <col min="6422" max="6422" width="9.85546875" style="62" customWidth="1"/>
    <col min="6423" max="6423" width="14.7109375" style="62" customWidth="1"/>
    <col min="6424" max="6424" width="19.140625" style="62" customWidth="1"/>
    <col min="6425" max="6425" width="20.28515625" style="62" customWidth="1"/>
    <col min="6426" max="6426" width="13" style="62" customWidth="1"/>
    <col min="6427" max="6656" width="9.140625" style="62"/>
    <col min="6657" max="6657" width="17.85546875" style="62" customWidth="1"/>
    <col min="6658" max="6658" width="16.85546875" style="62" customWidth="1"/>
    <col min="6659" max="6659" width="14.5703125" style="62" customWidth="1"/>
    <col min="6660" max="6661" width="15.85546875" style="62" customWidth="1"/>
    <col min="6662" max="6662" width="17.140625" style="62" customWidth="1"/>
    <col min="6663" max="6663" width="13.140625" style="62" customWidth="1"/>
    <col min="6664" max="6664" width="12.140625" style="62" customWidth="1"/>
    <col min="6665" max="6665" width="12.85546875" style="62" customWidth="1"/>
    <col min="6666" max="6666" width="14.42578125" style="62" customWidth="1"/>
    <col min="6667" max="6667" width="12.7109375" style="62" customWidth="1"/>
    <col min="6668" max="6668" width="17.5703125" style="62" customWidth="1"/>
    <col min="6669" max="6669" width="12.5703125" style="62" customWidth="1"/>
    <col min="6670" max="6670" width="17" style="62" customWidth="1"/>
    <col min="6671" max="6671" width="13.140625" style="62" customWidth="1"/>
    <col min="6672" max="6676" width="14.7109375" style="62" customWidth="1"/>
    <col min="6677" max="6677" width="12.5703125" style="62" customWidth="1"/>
    <col min="6678" max="6678" width="9.85546875" style="62" customWidth="1"/>
    <col min="6679" max="6679" width="14.7109375" style="62" customWidth="1"/>
    <col min="6680" max="6680" width="19.140625" style="62" customWidth="1"/>
    <col min="6681" max="6681" width="20.28515625" style="62" customWidth="1"/>
    <col min="6682" max="6682" width="13" style="62" customWidth="1"/>
    <col min="6683" max="6912" width="9.140625" style="62"/>
    <col min="6913" max="6913" width="17.85546875" style="62" customWidth="1"/>
    <col min="6914" max="6914" width="16.85546875" style="62" customWidth="1"/>
    <col min="6915" max="6915" width="14.5703125" style="62" customWidth="1"/>
    <col min="6916" max="6917" width="15.85546875" style="62" customWidth="1"/>
    <col min="6918" max="6918" width="17.140625" style="62" customWidth="1"/>
    <col min="6919" max="6919" width="13.140625" style="62" customWidth="1"/>
    <col min="6920" max="6920" width="12.140625" style="62" customWidth="1"/>
    <col min="6921" max="6921" width="12.85546875" style="62" customWidth="1"/>
    <col min="6922" max="6922" width="14.42578125" style="62" customWidth="1"/>
    <col min="6923" max="6923" width="12.7109375" style="62" customWidth="1"/>
    <col min="6924" max="6924" width="17.5703125" style="62" customWidth="1"/>
    <col min="6925" max="6925" width="12.5703125" style="62" customWidth="1"/>
    <col min="6926" max="6926" width="17" style="62" customWidth="1"/>
    <col min="6927" max="6927" width="13.140625" style="62" customWidth="1"/>
    <col min="6928" max="6932" width="14.7109375" style="62" customWidth="1"/>
    <col min="6933" max="6933" width="12.5703125" style="62" customWidth="1"/>
    <col min="6934" max="6934" width="9.85546875" style="62" customWidth="1"/>
    <col min="6935" max="6935" width="14.7109375" style="62" customWidth="1"/>
    <col min="6936" max="6936" width="19.140625" style="62" customWidth="1"/>
    <col min="6937" max="6937" width="20.28515625" style="62" customWidth="1"/>
    <col min="6938" max="6938" width="13" style="62" customWidth="1"/>
    <col min="6939" max="7168" width="9.140625" style="62"/>
    <col min="7169" max="7169" width="17.85546875" style="62" customWidth="1"/>
    <col min="7170" max="7170" width="16.85546875" style="62" customWidth="1"/>
    <col min="7171" max="7171" width="14.5703125" style="62" customWidth="1"/>
    <col min="7172" max="7173" width="15.85546875" style="62" customWidth="1"/>
    <col min="7174" max="7174" width="17.140625" style="62" customWidth="1"/>
    <col min="7175" max="7175" width="13.140625" style="62" customWidth="1"/>
    <col min="7176" max="7176" width="12.140625" style="62" customWidth="1"/>
    <col min="7177" max="7177" width="12.85546875" style="62" customWidth="1"/>
    <col min="7178" max="7178" width="14.42578125" style="62" customWidth="1"/>
    <col min="7179" max="7179" width="12.7109375" style="62" customWidth="1"/>
    <col min="7180" max="7180" width="17.5703125" style="62" customWidth="1"/>
    <col min="7181" max="7181" width="12.5703125" style="62" customWidth="1"/>
    <col min="7182" max="7182" width="17" style="62" customWidth="1"/>
    <col min="7183" max="7183" width="13.140625" style="62" customWidth="1"/>
    <col min="7184" max="7188" width="14.7109375" style="62" customWidth="1"/>
    <col min="7189" max="7189" width="12.5703125" style="62" customWidth="1"/>
    <col min="7190" max="7190" width="9.85546875" style="62" customWidth="1"/>
    <col min="7191" max="7191" width="14.7109375" style="62" customWidth="1"/>
    <col min="7192" max="7192" width="19.140625" style="62" customWidth="1"/>
    <col min="7193" max="7193" width="20.28515625" style="62" customWidth="1"/>
    <col min="7194" max="7194" width="13" style="62" customWidth="1"/>
    <col min="7195" max="7424" width="9.140625" style="62"/>
    <col min="7425" max="7425" width="17.85546875" style="62" customWidth="1"/>
    <col min="7426" max="7426" width="16.85546875" style="62" customWidth="1"/>
    <col min="7427" max="7427" width="14.5703125" style="62" customWidth="1"/>
    <col min="7428" max="7429" width="15.85546875" style="62" customWidth="1"/>
    <col min="7430" max="7430" width="17.140625" style="62" customWidth="1"/>
    <col min="7431" max="7431" width="13.140625" style="62" customWidth="1"/>
    <col min="7432" max="7432" width="12.140625" style="62" customWidth="1"/>
    <col min="7433" max="7433" width="12.85546875" style="62" customWidth="1"/>
    <col min="7434" max="7434" width="14.42578125" style="62" customWidth="1"/>
    <col min="7435" max="7435" width="12.7109375" style="62" customWidth="1"/>
    <col min="7436" max="7436" width="17.5703125" style="62" customWidth="1"/>
    <col min="7437" max="7437" width="12.5703125" style="62" customWidth="1"/>
    <col min="7438" max="7438" width="17" style="62" customWidth="1"/>
    <col min="7439" max="7439" width="13.140625" style="62" customWidth="1"/>
    <col min="7440" max="7444" width="14.7109375" style="62" customWidth="1"/>
    <col min="7445" max="7445" width="12.5703125" style="62" customWidth="1"/>
    <col min="7446" max="7446" width="9.85546875" style="62" customWidth="1"/>
    <col min="7447" max="7447" width="14.7109375" style="62" customWidth="1"/>
    <col min="7448" max="7448" width="19.140625" style="62" customWidth="1"/>
    <col min="7449" max="7449" width="20.28515625" style="62" customWidth="1"/>
    <col min="7450" max="7450" width="13" style="62" customWidth="1"/>
    <col min="7451" max="7680" width="9.140625" style="62"/>
    <col min="7681" max="7681" width="17.85546875" style="62" customWidth="1"/>
    <col min="7682" max="7682" width="16.85546875" style="62" customWidth="1"/>
    <col min="7683" max="7683" width="14.5703125" style="62" customWidth="1"/>
    <col min="7684" max="7685" width="15.85546875" style="62" customWidth="1"/>
    <col min="7686" max="7686" width="17.140625" style="62" customWidth="1"/>
    <col min="7687" max="7687" width="13.140625" style="62" customWidth="1"/>
    <col min="7688" max="7688" width="12.140625" style="62" customWidth="1"/>
    <col min="7689" max="7689" width="12.85546875" style="62" customWidth="1"/>
    <col min="7690" max="7690" width="14.42578125" style="62" customWidth="1"/>
    <col min="7691" max="7691" width="12.7109375" style="62" customWidth="1"/>
    <col min="7692" max="7692" width="17.5703125" style="62" customWidth="1"/>
    <col min="7693" max="7693" width="12.5703125" style="62" customWidth="1"/>
    <col min="7694" max="7694" width="17" style="62" customWidth="1"/>
    <col min="7695" max="7695" width="13.140625" style="62" customWidth="1"/>
    <col min="7696" max="7700" width="14.7109375" style="62" customWidth="1"/>
    <col min="7701" max="7701" width="12.5703125" style="62" customWidth="1"/>
    <col min="7702" max="7702" width="9.85546875" style="62" customWidth="1"/>
    <col min="7703" max="7703" width="14.7109375" style="62" customWidth="1"/>
    <col min="7704" max="7704" width="19.140625" style="62" customWidth="1"/>
    <col min="7705" max="7705" width="20.28515625" style="62" customWidth="1"/>
    <col min="7706" max="7706" width="13" style="62" customWidth="1"/>
    <col min="7707" max="7936" width="9.140625" style="62"/>
    <col min="7937" max="7937" width="17.85546875" style="62" customWidth="1"/>
    <col min="7938" max="7938" width="16.85546875" style="62" customWidth="1"/>
    <col min="7939" max="7939" width="14.5703125" style="62" customWidth="1"/>
    <col min="7940" max="7941" width="15.85546875" style="62" customWidth="1"/>
    <col min="7942" max="7942" width="17.140625" style="62" customWidth="1"/>
    <col min="7943" max="7943" width="13.140625" style="62" customWidth="1"/>
    <col min="7944" max="7944" width="12.140625" style="62" customWidth="1"/>
    <col min="7945" max="7945" width="12.85546875" style="62" customWidth="1"/>
    <col min="7946" max="7946" width="14.42578125" style="62" customWidth="1"/>
    <col min="7947" max="7947" width="12.7109375" style="62" customWidth="1"/>
    <col min="7948" max="7948" width="17.5703125" style="62" customWidth="1"/>
    <col min="7949" max="7949" width="12.5703125" style="62" customWidth="1"/>
    <col min="7950" max="7950" width="17" style="62" customWidth="1"/>
    <col min="7951" max="7951" width="13.140625" style="62" customWidth="1"/>
    <col min="7952" max="7956" width="14.7109375" style="62" customWidth="1"/>
    <col min="7957" max="7957" width="12.5703125" style="62" customWidth="1"/>
    <col min="7958" max="7958" width="9.85546875" style="62" customWidth="1"/>
    <col min="7959" max="7959" width="14.7109375" style="62" customWidth="1"/>
    <col min="7960" max="7960" width="19.140625" style="62" customWidth="1"/>
    <col min="7961" max="7961" width="20.28515625" style="62" customWidth="1"/>
    <col min="7962" max="7962" width="13" style="62" customWidth="1"/>
    <col min="7963" max="8192" width="9.140625" style="62"/>
    <col min="8193" max="8193" width="17.85546875" style="62" customWidth="1"/>
    <col min="8194" max="8194" width="16.85546875" style="62" customWidth="1"/>
    <col min="8195" max="8195" width="14.5703125" style="62" customWidth="1"/>
    <col min="8196" max="8197" width="15.85546875" style="62" customWidth="1"/>
    <col min="8198" max="8198" width="17.140625" style="62" customWidth="1"/>
    <col min="8199" max="8199" width="13.140625" style="62" customWidth="1"/>
    <col min="8200" max="8200" width="12.140625" style="62" customWidth="1"/>
    <col min="8201" max="8201" width="12.85546875" style="62" customWidth="1"/>
    <col min="8202" max="8202" width="14.42578125" style="62" customWidth="1"/>
    <col min="8203" max="8203" width="12.7109375" style="62" customWidth="1"/>
    <col min="8204" max="8204" width="17.5703125" style="62" customWidth="1"/>
    <col min="8205" max="8205" width="12.5703125" style="62" customWidth="1"/>
    <col min="8206" max="8206" width="17" style="62" customWidth="1"/>
    <col min="8207" max="8207" width="13.140625" style="62" customWidth="1"/>
    <col min="8208" max="8212" width="14.7109375" style="62" customWidth="1"/>
    <col min="8213" max="8213" width="12.5703125" style="62" customWidth="1"/>
    <col min="8214" max="8214" width="9.85546875" style="62" customWidth="1"/>
    <col min="8215" max="8215" width="14.7109375" style="62" customWidth="1"/>
    <col min="8216" max="8216" width="19.140625" style="62" customWidth="1"/>
    <col min="8217" max="8217" width="20.28515625" style="62" customWidth="1"/>
    <col min="8218" max="8218" width="13" style="62" customWidth="1"/>
    <col min="8219" max="8448" width="9.140625" style="62"/>
    <col min="8449" max="8449" width="17.85546875" style="62" customWidth="1"/>
    <col min="8450" max="8450" width="16.85546875" style="62" customWidth="1"/>
    <col min="8451" max="8451" width="14.5703125" style="62" customWidth="1"/>
    <col min="8452" max="8453" width="15.85546875" style="62" customWidth="1"/>
    <col min="8454" max="8454" width="17.140625" style="62" customWidth="1"/>
    <col min="8455" max="8455" width="13.140625" style="62" customWidth="1"/>
    <col min="8456" max="8456" width="12.140625" style="62" customWidth="1"/>
    <col min="8457" max="8457" width="12.85546875" style="62" customWidth="1"/>
    <col min="8458" max="8458" width="14.42578125" style="62" customWidth="1"/>
    <col min="8459" max="8459" width="12.7109375" style="62" customWidth="1"/>
    <col min="8460" max="8460" width="17.5703125" style="62" customWidth="1"/>
    <col min="8461" max="8461" width="12.5703125" style="62" customWidth="1"/>
    <col min="8462" max="8462" width="17" style="62" customWidth="1"/>
    <col min="8463" max="8463" width="13.140625" style="62" customWidth="1"/>
    <col min="8464" max="8468" width="14.7109375" style="62" customWidth="1"/>
    <col min="8469" max="8469" width="12.5703125" style="62" customWidth="1"/>
    <col min="8470" max="8470" width="9.85546875" style="62" customWidth="1"/>
    <col min="8471" max="8471" width="14.7109375" style="62" customWidth="1"/>
    <col min="8472" max="8472" width="19.140625" style="62" customWidth="1"/>
    <col min="8473" max="8473" width="20.28515625" style="62" customWidth="1"/>
    <col min="8474" max="8474" width="13" style="62" customWidth="1"/>
    <col min="8475" max="8704" width="9.140625" style="62"/>
    <col min="8705" max="8705" width="17.85546875" style="62" customWidth="1"/>
    <col min="8706" max="8706" width="16.85546875" style="62" customWidth="1"/>
    <col min="8707" max="8707" width="14.5703125" style="62" customWidth="1"/>
    <col min="8708" max="8709" width="15.85546875" style="62" customWidth="1"/>
    <col min="8710" max="8710" width="17.140625" style="62" customWidth="1"/>
    <col min="8711" max="8711" width="13.140625" style="62" customWidth="1"/>
    <col min="8712" max="8712" width="12.140625" style="62" customWidth="1"/>
    <col min="8713" max="8713" width="12.85546875" style="62" customWidth="1"/>
    <col min="8714" max="8714" width="14.42578125" style="62" customWidth="1"/>
    <col min="8715" max="8715" width="12.7109375" style="62" customWidth="1"/>
    <col min="8716" max="8716" width="17.5703125" style="62" customWidth="1"/>
    <col min="8717" max="8717" width="12.5703125" style="62" customWidth="1"/>
    <col min="8718" max="8718" width="17" style="62" customWidth="1"/>
    <col min="8719" max="8719" width="13.140625" style="62" customWidth="1"/>
    <col min="8720" max="8724" width="14.7109375" style="62" customWidth="1"/>
    <col min="8725" max="8725" width="12.5703125" style="62" customWidth="1"/>
    <col min="8726" max="8726" width="9.85546875" style="62" customWidth="1"/>
    <col min="8727" max="8727" width="14.7109375" style="62" customWidth="1"/>
    <col min="8728" max="8728" width="19.140625" style="62" customWidth="1"/>
    <col min="8729" max="8729" width="20.28515625" style="62" customWidth="1"/>
    <col min="8730" max="8730" width="13" style="62" customWidth="1"/>
    <col min="8731" max="8960" width="9.140625" style="62"/>
    <col min="8961" max="8961" width="17.85546875" style="62" customWidth="1"/>
    <col min="8962" max="8962" width="16.85546875" style="62" customWidth="1"/>
    <col min="8963" max="8963" width="14.5703125" style="62" customWidth="1"/>
    <col min="8964" max="8965" width="15.85546875" style="62" customWidth="1"/>
    <col min="8966" max="8966" width="17.140625" style="62" customWidth="1"/>
    <col min="8967" max="8967" width="13.140625" style="62" customWidth="1"/>
    <col min="8968" max="8968" width="12.140625" style="62" customWidth="1"/>
    <col min="8969" max="8969" width="12.85546875" style="62" customWidth="1"/>
    <col min="8970" max="8970" width="14.42578125" style="62" customWidth="1"/>
    <col min="8971" max="8971" width="12.7109375" style="62" customWidth="1"/>
    <col min="8972" max="8972" width="17.5703125" style="62" customWidth="1"/>
    <col min="8973" max="8973" width="12.5703125" style="62" customWidth="1"/>
    <col min="8974" max="8974" width="17" style="62" customWidth="1"/>
    <col min="8975" max="8975" width="13.140625" style="62" customWidth="1"/>
    <col min="8976" max="8980" width="14.7109375" style="62" customWidth="1"/>
    <col min="8981" max="8981" width="12.5703125" style="62" customWidth="1"/>
    <col min="8982" max="8982" width="9.85546875" style="62" customWidth="1"/>
    <col min="8983" max="8983" width="14.7109375" style="62" customWidth="1"/>
    <col min="8984" max="8984" width="19.140625" style="62" customWidth="1"/>
    <col min="8985" max="8985" width="20.28515625" style="62" customWidth="1"/>
    <col min="8986" max="8986" width="13" style="62" customWidth="1"/>
    <col min="8987" max="9216" width="9.140625" style="62"/>
    <col min="9217" max="9217" width="17.85546875" style="62" customWidth="1"/>
    <col min="9218" max="9218" width="16.85546875" style="62" customWidth="1"/>
    <col min="9219" max="9219" width="14.5703125" style="62" customWidth="1"/>
    <col min="9220" max="9221" width="15.85546875" style="62" customWidth="1"/>
    <col min="9222" max="9222" width="17.140625" style="62" customWidth="1"/>
    <col min="9223" max="9223" width="13.140625" style="62" customWidth="1"/>
    <col min="9224" max="9224" width="12.140625" style="62" customWidth="1"/>
    <col min="9225" max="9225" width="12.85546875" style="62" customWidth="1"/>
    <col min="9226" max="9226" width="14.42578125" style="62" customWidth="1"/>
    <col min="9227" max="9227" width="12.7109375" style="62" customWidth="1"/>
    <col min="9228" max="9228" width="17.5703125" style="62" customWidth="1"/>
    <col min="9229" max="9229" width="12.5703125" style="62" customWidth="1"/>
    <col min="9230" max="9230" width="17" style="62" customWidth="1"/>
    <col min="9231" max="9231" width="13.140625" style="62" customWidth="1"/>
    <col min="9232" max="9236" width="14.7109375" style="62" customWidth="1"/>
    <col min="9237" max="9237" width="12.5703125" style="62" customWidth="1"/>
    <col min="9238" max="9238" width="9.85546875" style="62" customWidth="1"/>
    <col min="9239" max="9239" width="14.7109375" style="62" customWidth="1"/>
    <col min="9240" max="9240" width="19.140625" style="62" customWidth="1"/>
    <col min="9241" max="9241" width="20.28515625" style="62" customWidth="1"/>
    <col min="9242" max="9242" width="13" style="62" customWidth="1"/>
    <col min="9243" max="9472" width="9.140625" style="62"/>
    <col min="9473" max="9473" width="17.85546875" style="62" customWidth="1"/>
    <col min="9474" max="9474" width="16.85546875" style="62" customWidth="1"/>
    <col min="9475" max="9475" width="14.5703125" style="62" customWidth="1"/>
    <col min="9476" max="9477" width="15.85546875" style="62" customWidth="1"/>
    <col min="9478" max="9478" width="17.140625" style="62" customWidth="1"/>
    <col min="9479" max="9479" width="13.140625" style="62" customWidth="1"/>
    <col min="9480" max="9480" width="12.140625" style="62" customWidth="1"/>
    <col min="9481" max="9481" width="12.85546875" style="62" customWidth="1"/>
    <col min="9482" max="9482" width="14.42578125" style="62" customWidth="1"/>
    <col min="9483" max="9483" width="12.7109375" style="62" customWidth="1"/>
    <col min="9484" max="9484" width="17.5703125" style="62" customWidth="1"/>
    <col min="9485" max="9485" width="12.5703125" style="62" customWidth="1"/>
    <col min="9486" max="9486" width="17" style="62" customWidth="1"/>
    <col min="9487" max="9487" width="13.140625" style="62" customWidth="1"/>
    <col min="9488" max="9492" width="14.7109375" style="62" customWidth="1"/>
    <col min="9493" max="9493" width="12.5703125" style="62" customWidth="1"/>
    <col min="9494" max="9494" width="9.85546875" style="62" customWidth="1"/>
    <col min="9495" max="9495" width="14.7109375" style="62" customWidth="1"/>
    <col min="9496" max="9496" width="19.140625" style="62" customWidth="1"/>
    <col min="9497" max="9497" width="20.28515625" style="62" customWidth="1"/>
    <col min="9498" max="9498" width="13" style="62" customWidth="1"/>
    <col min="9499" max="9728" width="9.140625" style="62"/>
    <col min="9729" max="9729" width="17.85546875" style="62" customWidth="1"/>
    <col min="9730" max="9730" width="16.85546875" style="62" customWidth="1"/>
    <col min="9731" max="9731" width="14.5703125" style="62" customWidth="1"/>
    <col min="9732" max="9733" width="15.85546875" style="62" customWidth="1"/>
    <col min="9734" max="9734" width="17.140625" style="62" customWidth="1"/>
    <col min="9735" max="9735" width="13.140625" style="62" customWidth="1"/>
    <col min="9736" max="9736" width="12.140625" style="62" customWidth="1"/>
    <col min="9737" max="9737" width="12.85546875" style="62" customWidth="1"/>
    <col min="9738" max="9738" width="14.42578125" style="62" customWidth="1"/>
    <col min="9739" max="9739" width="12.7109375" style="62" customWidth="1"/>
    <col min="9740" max="9740" width="17.5703125" style="62" customWidth="1"/>
    <col min="9741" max="9741" width="12.5703125" style="62" customWidth="1"/>
    <col min="9742" max="9742" width="17" style="62" customWidth="1"/>
    <col min="9743" max="9743" width="13.140625" style="62" customWidth="1"/>
    <col min="9744" max="9748" width="14.7109375" style="62" customWidth="1"/>
    <col min="9749" max="9749" width="12.5703125" style="62" customWidth="1"/>
    <col min="9750" max="9750" width="9.85546875" style="62" customWidth="1"/>
    <col min="9751" max="9751" width="14.7109375" style="62" customWidth="1"/>
    <col min="9752" max="9752" width="19.140625" style="62" customWidth="1"/>
    <col min="9753" max="9753" width="20.28515625" style="62" customWidth="1"/>
    <col min="9754" max="9754" width="13" style="62" customWidth="1"/>
    <col min="9755" max="9984" width="9.140625" style="62"/>
    <col min="9985" max="9985" width="17.85546875" style="62" customWidth="1"/>
    <col min="9986" max="9986" width="16.85546875" style="62" customWidth="1"/>
    <col min="9987" max="9987" width="14.5703125" style="62" customWidth="1"/>
    <col min="9988" max="9989" width="15.85546875" style="62" customWidth="1"/>
    <col min="9990" max="9990" width="17.140625" style="62" customWidth="1"/>
    <col min="9991" max="9991" width="13.140625" style="62" customWidth="1"/>
    <col min="9992" max="9992" width="12.140625" style="62" customWidth="1"/>
    <col min="9993" max="9993" width="12.85546875" style="62" customWidth="1"/>
    <col min="9994" max="9994" width="14.42578125" style="62" customWidth="1"/>
    <col min="9995" max="9995" width="12.7109375" style="62" customWidth="1"/>
    <col min="9996" max="9996" width="17.5703125" style="62" customWidth="1"/>
    <col min="9997" max="9997" width="12.5703125" style="62" customWidth="1"/>
    <col min="9998" max="9998" width="17" style="62" customWidth="1"/>
    <col min="9999" max="9999" width="13.140625" style="62" customWidth="1"/>
    <col min="10000" max="10004" width="14.7109375" style="62" customWidth="1"/>
    <col min="10005" max="10005" width="12.5703125" style="62" customWidth="1"/>
    <col min="10006" max="10006" width="9.85546875" style="62" customWidth="1"/>
    <col min="10007" max="10007" width="14.7109375" style="62" customWidth="1"/>
    <col min="10008" max="10008" width="19.140625" style="62" customWidth="1"/>
    <col min="10009" max="10009" width="20.28515625" style="62" customWidth="1"/>
    <col min="10010" max="10010" width="13" style="62" customWidth="1"/>
    <col min="10011" max="10240" width="9.140625" style="62"/>
    <col min="10241" max="10241" width="17.85546875" style="62" customWidth="1"/>
    <col min="10242" max="10242" width="16.85546875" style="62" customWidth="1"/>
    <col min="10243" max="10243" width="14.5703125" style="62" customWidth="1"/>
    <col min="10244" max="10245" width="15.85546875" style="62" customWidth="1"/>
    <col min="10246" max="10246" width="17.140625" style="62" customWidth="1"/>
    <col min="10247" max="10247" width="13.140625" style="62" customWidth="1"/>
    <col min="10248" max="10248" width="12.140625" style="62" customWidth="1"/>
    <col min="10249" max="10249" width="12.85546875" style="62" customWidth="1"/>
    <col min="10250" max="10250" width="14.42578125" style="62" customWidth="1"/>
    <col min="10251" max="10251" width="12.7109375" style="62" customWidth="1"/>
    <col min="10252" max="10252" width="17.5703125" style="62" customWidth="1"/>
    <col min="10253" max="10253" width="12.5703125" style="62" customWidth="1"/>
    <col min="10254" max="10254" width="17" style="62" customWidth="1"/>
    <col min="10255" max="10255" width="13.140625" style="62" customWidth="1"/>
    <col min="10256" max="10260" width="14.7109375" style="62" customWidth="1"/>
    <col min="10261" max="10261" width="12.5703125" style="62" customWidth="1"/>
    <col min="10262" max="10262" width="9.85546875" style="62" customWidth="1"/>
    <col min="10263" max="10263" width="14.7109375" style="62" customWidth="1"/>
    <col min="10264" max="10264" width="19.140625" style="62" customWidth="1"/>
    <col min="10265" max="10265" width="20.28515625" style="62" customWidth="1"/>
    <col min="10266" max="10266" width="13" style="62" customWidth="1"/>
    <col min="10267" max="10496" width="9.140625" style="62"/>
    <col min="10497" max="10497" width="17.85546875" style="62" customWidth="1"/>
    <col min="10498" max="10498" width="16.85546875" style="62" customWidth="1"/>
    <col min="10499" max="10499" width="14.5703125" style="62" customWidth="1"/>
    <col min="10500" max="10501" width="15.85546875" style="62" customWidth="1"/>
    <col min="10502" max="10502" width="17.140625" style="62" customWidth="1"/>
    <col min="10503" max="10503" width="13.140625" style="62" customWidth="1"/>
    <col min="10504" max="10504" width="12.140625" style="62" customWidth="1"/>
    <col min="10505" max="10505" width="12.85546875" style="62" customWidth="1"/>
    <col min="10506" max="10506" width="14.42578125" style="62" customWidth="1"/>
    <col min="10507" max="10507" width="12.7109375" style="62" customWidth="1"/>
    <col min="10508" max="10508" width="17.5703125" style="62" customWidth="1"/>
    <col min="10509" max="10509" width="12.5703125" style="62" customWidth="1"/>
    <col min="10510" max="10510" width="17" style="62" customWidth="1"/>
    <col min="10511" max="10511" width="13.140625" style="62" customWidth="1"/>
    <col min="10512" max="10516" width="14.7109375" style="62" customWidth="1"/>
    <col min="10517" max="10517" width="12.5703125" style="62" customWidth="1"/>
    <col min="10518" max="10518" width="9.85546875" style="62" customWidth="1"/>
    <col min="10519" max="10519" width="14.7109375" style="62" customWidth="1"/>
    <col min="10520" max="10520" width="19.140625" style="62" customWidth="1"/>
    <col min="10521" max="10521" width="20.28515625" style="62" customWidth="1"/>
    <col min="10522" max="10522" width="13" style="62" customWidth="1"/>
    <col min="10523" max="10752" width="9.140625" style="62"/>
    <col min="10753" max="10753" width="17.85546875" style="62" customWidth="1"/>
    <col min="10754" max="10754" width="16.85546875" style="62" customWidth="1"/>
    <col min="10755" max="10755" width="14.5703125" style="62" customWidth="1"/>
    <col min="10756" max="10757" width="15.85546875" style="62" customWidth="1"/>
    <col min="10758" max="10758" width="17.140625" style="62" customWidth="1"/>
    <col min="10759" max="10759" width="13.140625" style="62" customWidth="1"/>
    <col min="10760" max="10760" width="12.140625" style="62" customWidth="1"/>
    <col min="10761" max="10761" width="12.85546875" style="62" customWidth="1"/>
    <col min="10762" max="10762" width="14.42578125" style="62" customWidth="1"/>
    <col min="10763" max="10763" width="12.7109375" style="62" customWidth="1"/>
    <col min="10764" max="10764" width="17.5703125" style="62" customWidth="1"/>
    <col min="10765" max="10765" width="12.5703125" style="62" customWidth="1"/>
    <col min="10766" max="10766" width="17" style="62" customWidth="1"/>
    <col min="10767" max="10767" width="13.140625" style="62" customWidth="1"/>
    <col min="10768" max="10772" width="14.7109375" style="62" customWidth="1"/>
    <col min="10773" max="10773" width="12.5703125" style="62" customWidth="1"/>
    <col min="10774" max="10774" width="9.85546875" style="62" customWidth="1"/>
    <col min="10775" max="10775" width="14.7109375" style="62" customWidth="1"/>
    <col min="10776" max="10776" width="19.140625" style="62" customWidth="1"/>
    <col min="10777" max="10777" width="20.28515625" style="62" customWidth="1"/>
    <col min="10778" max="10778" width="13" style="62" customWidth="1"/>
    <col min="10779" max="11008" width="9.140625" style="62"/>
    <col min="11009" max="11009" width="17.85546875" style="62" customWidth="1"/>
    <col min="11010" max="11010" width="16.85546875" style="62" customWidth="1"/>
    <col min="11011" max="11011" width="14.5703125" style="62" customWidth="1"/>
    <col min="11012" max="11013" width="15.85546875" style="62" customWidth="1"/>
    <col min="11014" max="11014" width="17.140625" style="62" customWidth="1"/>
    <col min="11015" max="11015" width="13.140625" style="62" customWidth="1"/>
    <col min="11016" max="11016" width="12.140625" style="62" customWidth="1"/>
    <col min="11017" max="11017" width="12.85546875" style="62" customWidth="1"/>
    <col min="11018" max="11018" width="14.42578125" style="62" customWidth="1"/>
    <col min="11019" max="11019" width="12.7109375" style="62" customWidth="1"/>
    <col min="11020" max="11020" width="17.5703125" style="62" customWidth="1"/>
    <col min="11021" max="11021" width="12.5703125" style="62" customWidth="1"/>
    <col min="11022" max="11022" width="17" style="62" customWidth="1"/>
    <col min="11023" max="11023" width="13.140625" style="62" customWidth="1"/>
    <col min="11024" max="11028" width="14.7109375" style="62" customWidth="1"/>
    <col min="11029" max="11029" width="12.5703125" style="62" customWidth="1"/>
    <col min="11030" max="11030" width="9.85546875" style="62" customWidth="1"/>
    <col min="11031" max="11031" width="14.7109375" style="62" customWidth="1"/>
    <col min="11032" max="11032" width="19.140625" style="62" customWidth="1"/>
    <col min="11033" max="11033" width="20.28515625" style="62" customWidth="1"/>
    <col min="11034" max="11034" width="13" style="62" customWidth="1"/>
    <col min="11035" max="11264" width="9.140625" style="62"/>
    <col min="11265" max="11265" width="17.85546875" style="62" customWidth="1"/>
    <col min="11266" max="11266" width="16.85546875" style="62" customWidth="1"/>
    <col min="11267" max="11267" width="14.5703125" style="62" customWidth="1"/>
    <col min="11268" max="11269" width="15.85546875" style="62" customWidth="1"/>
    <col min="11270" max="11270" width="17.140625" style="62" customWidth="1"/>
    <col min="11271" max="11271" width="13.140625" style="62" customWidth="1"/>
    <col min="11272" max="11272" width="12.140625" style="62" customWidth="1"/>
    <col min="11273" max="11273" width="12.85546875" style="62" customWidth="1"/>
    <col min="11274" max="11274" width="14.42578125" style="62" customWidth="1"/>
    <col min="11275" max="11275" width="12.7109375" style="62" customWidth="1"/>
    <col min="11276" max="11276" width="17.5703125" style="62" customWidth="1"/>
    <col min="11277" max="11277" width="12.5703125" style="62" customWidth="1"/>
    <col min="11278" max="11278" width="17" style="62" customWidth="1"/>
    <col min="11279" max="11279" width="13.140625" style="62" customWidth="1"/>
    <col min="11280" max="11284" width="14.7109375" style="62" customWidth="1"/>
    <col min="11285" max="11285" width="12.5703125" style="62" customWidth="1"/>
    <col min="11286" max="11286" width="9.85546875" style="62" customWidth="1"/>
    <col min="11287" max="11287" width="14.7109375" style="62" customWidth="1"/>
    <col min="11288" max="11288" width="19.140625" style="62" customWidth="1"/>
    <col min="11289" max="11289" width="20.28515625" style="62" customWidth="1"/>
    <col min="11290" max="11290" width="13" style="62" customWidth="1"/>
    <col min="11291" max="11520" width="9.140625" style="62"/>
    <col min="11521" max="11521" width="17.85546875" style="62" customWidth="1"/>
    <col min="11522" max="11522" width="16.85546875" style="62" customWidth="1"/>
    <col min="11523" max="11523" width="14.5703125" style="62" customWidth="1"/>
    <col min="11524" max="11525" width="15.85546875" style="62" customWidth="1"/>
    <col min="11526" max="11526" width="17.140625" style="62" customWidth="1"/>
    <col min="11527" max="11527" width="13.140625" style="62" customWidth="1"/>
    <col min="11528" max="11528" width="12.140625" style="62" customWidth="1"/>
    <col min="11529" max="11529" width="12.85546875" style="62" customWidth="1"/>
    <col min="11530" max="11530" width="14.42578125" style="62" customWidth="1"/>
    <col min="11531" max="11531" width="12.7109375" style="62" customWidth="1"/>
    <col min="11532" max="11532" width="17.5703125" style="62" customWidth="1"/>
    <col min="11533" max="11533" width="12.5703125" style="62" customWidth="1"/>
    <col min="11534" max="11534" width="17" style="62" customWidth="1"/>
    <col min="11535" max="11535" width="13.140625" style="62" customWidth="1"/>
    <col min="11536" max="11540" width="14.7109375" style="62" customWidth="1"/>
    <col min="11541" max="11541" width="12.5703125" style="62" customWidth="1"/>
    <col min="11542" max="11542" width="9.85546875" style="62" customWidth="1"/>
    <col min="11543" max="11543" width="14.7109375" style="62" customWidth="1"/>
    <col min="11544" max="11544" width="19.140625" style="62" customWidth="1"/>
    <col min="11545" max="11545" width="20.28515625" style="62" customWidth="1"/>
    <col min="11546" max="11546" width="13" style="62" customWidth="1"/>
    <col min="11547" max="11776" width="9.140625" style="62"/>
    <col min="11777" max="11777" width="17.85546875" style="62" customWidth="1"/>
    <col min="11778" max="11778" width="16.85546875" style="62" customWidth="1"/>
    <col min="11779" max="11779" width="14.5703125" style="62" customWidth="1"/>
    <col min="11780" max="11781" width="15.85546875" style="62" customWidth="1"/>
    <col min="11782" max="11782" width="17.140625" style="62" customWidth="1"/>
    <col min="11783" max="11783" width="13.140625" style="62" customWidth="1"/>
    <col min="11784" max="11784" width="12.140625" style="62" customWidth="1"/>
    <col min="11785" max="11785" width="12.85546875" style="62" customWidth="1"/>
    <col min="11786" max="11786" width="14.42578125" style="62" customWidth="1"/>
    <col min="11787" max="11787" width="12.7109375" style="62" customWidth="1"/>
    <col min="11788" max="11788" width="17.5703125" style="62" customWidth="1"/>
    <col min="11789" max="11789" width="12.5703125" style="62" customWidth="1"/>
    <col min="11790" max="11790" width="17" style="62" customWidth="1"/>
    <col min="11791" max="11791" width="13.140625" style="62" customWidth="1"/>
    <col min="11792" max="11796" width="14.7109375" style="62" customWidth="1"/>
    <col min="11797" max="11797" width="12.5703125" style="62" customWidth="1"/>
    <col min="11798" max="11798" width="9.85546875" style="62" customWidth="1"/>
    <col min="11799" max="11799" width="14.7109375" style="62" customWidth="1"/>
    <col min="11800" max="11800" width="19.140625" style="62" customWidth="1"/>
    <col min="11801" max="11801" width="20.28515625" style="62" customWidth="1"/>
    <col min="11802" max="11802" width="13" style="62" customWidth="1"/>
    <col min="11803" max="12032" width="9.140625" style="62"/>
    <col min="12033" max="12033" width="17.85546875" style="62" customWidth="1"/>
    <col min="12034" max="12034" width="16.85546875" style="62" customWidth="1"/>
    <col min="12035" max="12035" width="14.5703125" style="62" customWidth="1"/>
    <col min="12036" max="12037" width="15.85546875" style="62" customWidth="1"/>
    <col min="12038" max="12038" width="17.140625" style="62" customWidth="1"/>
    <col min="12039" max="12039" width="13.140625" style="62" customWidth="1"/>
    <col min="12040" max="12040" width="12.140625" style="62" customWidth="1"/>
    <col min="12041" max="12041" width="12.85546875" style="62" customWidth="1"/>
    <col min="12042" max="12042" width="14.42578125" style="62" customWidth="1"/>
    <col min="12043" max="12043" width="12.7109375" style="62" customWidth="1"/>
    <col min="12044" max="12044" width="17.5703125" style="62" customWidth="1"/>
    <col min="12045" max="12045" width="12.5703125" style="62" customWidth="1"/>
    <col min="12046" max="12046" width="17" style="62" customWidth="1"/>
    <col min="12047" max="12047" width="13.140625" style="62" customWidth="1"/>
    <col min="12048" max="12052" width="14.7109375" style="62" customWidth="1"/>
    <col min="12053" max="12053" width="12.5703125" style="62" customWidth="1"/>
    <col min="12054" max="12054" width="9.85546875" style="62" customWidth="1"/>
    <col min="12055" max="12055" width="14.7109375" style="62" customWidth="1"/>
    <col min="12056" max="12056" width="19.140625" style="62" customWidth="1"/>
    <col min="12057" max="12057" width="20.28515625" style="62" customWidth="1"/>
    <col min="12058" max="12058" width="13" style="62" customWidth="1"/>
    <col min="12059" max="12288" width="9.140625" style="62"/>
    <col min="12289" max="12289" width="17.85546875" style="62" customWidth="1"/>
    <col min="12290" max="12290" width="16.85546875" style="62" customWidth="1"/>
    <col min="12291" max="12291" width="14.5703125" style="62" customWidth="1"/>
    <col min="12292" max="12293" width="15.85546875" style="62" customWidth="1"/>
    <col min="12294" max="12294" width="17.140625" style="62" customWidth="1"/>
    <col min="12295" max="12295" width="13.140625" style="62" customWidth="1"/>
    <col min="12296" max="12296" width="12.140625" style="62" customWidth="1"/>
    <col min="12297" max="12297" width="12.85546875" style="62" customWidth="1"/>
    <col min="12298" max="12298" width="14.42578125" style="62" customWidth="1"/>
    <col min="12299" max="12299" width="12.7109375" style="62" customWidth="1"/>
    <col min="12300" max="12300" width="17.5703125" style="62" customWidth="1"/>
    <col min="12301" max="12301" width="12.5703125" style="62" customWidth="1"/>
    <col min="12302" max="12302" width="17" style="62" customWidth="1"/>
    <col min="12303" max="12303" width="13.140625" style="62" customWidth="1"/>
    <col min="12304" max="12308" width="14.7109375" style="62" customWidth="1"/>
    <col min="12309" max="12309" width="12.5703125" style="62" customWidth="1"/>
    <col min="12310" max="12310" width="9.85546875" style="62" customWidth="1"/>
    <col min="12311" max="12311" width="14.7109375" style="62" customWidth="1"/>
    <col min="12312" max="12312" width="19.140625" style="62" customWidth="1"/>
    <col min="12313" max="12313" width="20.28515625" style="62" customWidth="1"/>
    <col min="12314" max="12314" width="13" style="62" customWidth="1"/>
    <col min="12315" max="12544" width="9.140625" style="62"/>
    <col min="12545" max="12545" width="17.85546875" style="62" customWidth="1"/>
    <col min="12546" max="12546" width="16.85546875" style="62" customWidth="1"/>
    <col min="12547" max="12547" width="14.5703125" style="62" customWidth="1"/>
    <col min="12548" max="12549" width="15.85546875" style="62" customWidth="1"/>
    <col min="12550" max="12550" width="17.140625" style="62" customWidth="1"/>
    <col min="12551" max="12551" width="13.140625" style="62" customWidth="1"/>
    <col min="12552" max="12552" width="12.140625" style="62" customWidth="1"/>
    <col min="12553" max="12553" width="12.85546875" style="62" customWidth="1"/>
    <col min="12554" max="12554" width="14.42578125" style="62" customWidth="1"/>
    <col min="12555" max="12555" width="12.7109375" style="62" customWidth="1"/>
    <col min="12556" max="12556" width="17.5703125" style="62" customWidth="1"/>
    <col min="12557" max="12557" width="12.5703125" style="62" customWidth="1"/>
    <col min="12558" max="12558" width="17" style="62" customWidth="1"/>
    <col min="12559" max="12559" width="13.140625" style="62" customWidth="1"/>
    <col min="12560" max="12564" width="14.7109375" style="62" customWidth="1"/>
    <col min="12565" max="12565" width="12.5703125" style="62" customWidth="1"/>
    <col min="12566" max="12566" width="9.85546875" style="62" customWidth="1"/>
    <col min="12567" max="12567" width="14.7109375" style="62" customWidth="1"/>
    <col min="12568" max="12568" width="19.140625" style="62" customWidth="1"/>
    <col min="12569" max="12569" width="20.28515625" style="62" customWidth="1"/>
    <col min="12570" max="12570" width="13" style="62" customWidth="1"/>
    <col min="12571" max="12800" width="9.140625" style="62"/>
    <col min="12801" max="12801" width="17.85546875" style="62" customWidth="1"/>
    <col min="12802" max="12802" width="16.85546875" style="62" customWidth="1"/>
    <col min="12803" max="12803" width="14.5703125" style="62" customWidth="1"/>
    <col min="12804" max="12805" width="15.85546875" style="62" customWidth="1"/>
    <col min="12806" max="12806" width="17.140625" style="62" customWidth="1"/>
    <col min="12807" max="12807" width="13.140625" style="62" customWidth="1"/>
    <col min="12808" max="12808" width="12.140625" style="62" customWidth="1"/>
    <col min="12809" max="12809" width="12.85546875" style="62" customWidth="1"/>
    <col min="12810" max="12810" width="14.42578125" style="62" customWidth="1"/>
    <col min="12811" max="12811" width="12.7109375" style="62" customWidth="1"/>
    <col min="12812" max="12812" width="17.5703125" style="62" customWidth="1"/>
    <col min="12813" max="12813" width="12.5703125" style="62" customWidth="1"/>
    <col min="12814" max="12814" width="17" style="62" customWidth="1"/>
    <col min="12815" max="12815" width="13.140625" style="62" customWidth="1"/>
    <col min="12816" max="12820" width="14.7109375" style="62" customWidth="1"/>
    <col min="12821" max="12821" width="12.5703125" style="62" customWidth="1"/>
    <col min="12822" max="12822" width="9.85546875" style="62" customWidth="1"/>
    <col min="12823" max="12823" width="14.7109375" style="62" customWidth="1"/>
    <col min="12824" max="12824" width="19.140625" style="62" customWidth="1"/>
    <col min="12825" max="12825" width="20.28515625" style="62" customWidth="1"/>
    <col min="12826" max="12826" width="13" style="62" customWidth="1"/>
    <col min="12827" max="13056" width="9.140625" style="62"/>
    <col min="13057" max="13057" width="17.85546875" style="62" customWidth="1"/>
    <col min="13058" max="13058" width="16.85546875" style="62" customWidth="1"/>
    <col min="13059" max="13059" width="14.5703125" style="62" customWidth="1"/>
    <col min="13060" max="13061" width="15.85546875" style="62" customWidth="1"/>
    <col min="13062" max="13062" width="17.140625" style="62" customWidth="1"/>
    <col min="13063" max="13063" width="13.140625" style="62" customWidth="1"/>
    <col min="13064" max="13064" width="12.140625" style="62" customWidth="1"/>
    <col min="13065" max="13065" width="12.85546875" style="62" customWidth="1"/>
    <col min="13066" max="13066" width="14.42578125" style="62" customWidth="1"/>
    <col min="13067" max="13067" width="12.7109375" style="62" customWidth="1"/>
    <col min="13068" max="13068" width="17.5703125" style="62" customWidth="1"/>
    <col min="13069" max="13069" width="12.5703125" style="62" customWidth="1"/>
    <col min="13070" max="13070" width="17" style="62" customWidth="1"/>
    <col min="13071" max="13071" width="13.140625" style="62" customWidth="1"/>
    <col min="13072" max="13076" width="14.7109375" style="62" customWidth="1"/>
    <col min="13077" max="13077" width="12.5703125" style="62" customWidth="1"/>
    <col min="13078" max="13078" width="9.85546875" style="62" customWidth="1"/>
    <col min="13079" max="13079" width="14.7109375" style="62" customWidth="1"/>
    <col min="13080" max="13080" width="19.140625" style="62" customWidth="1"/>
    <col min="13081" max="13081" width="20.28515625" style="62" customWidth="1"/>
    <col min="13082" max="13082" width="13" style="62" customWidth="1"/>
    <col min="13083" max="13312" width="9.140625" style="62"/>
    <col min="13313" max="13313" width="17.85546875" style="62" customWidth="1"/>
    <col min="13314" max="13314" width="16.85546875" style="62" customWidth="1"/>
    <col min="13315" max="13315" width="14.5703125" style="62" customWidth="1"/>
    <col min="13316" max="13317" width="15.85546875" style="62" customWidth="1"/>
    <col min="13318" max="13318" width="17.140625" style="62" customWidth="1"/>
    <col min="13319" max="13319" width="13.140625" style="62" customWidth="1"/>
    <col min="13320" max="13320" width="12.140625" style="62" customWidth="1"/>
    <col min="13321" max="13321" width="12.85546875" style="62" customWidth="1"/>
    <col min="13322" max="13322" width="14.42578125" style="62" customWidth="1"/>
    <col min="13323" max="13323" width="12.7109375" style="62" customWidth="1"/>
    <col min="13324" max="13324" width="17.5703125" style="62" customWidth="1"/>
    <col min="13325" max="13325" width="12.5703125" style="62" customWidth="1"/>
    <col min="13326" max="13326" width="17" style="62" customWidth="1"/>
    <col min="13327" max="13327" width="13.140625" style="62" customWidth="1"/>
    <col min="13328" max="13332" width="14.7109375" style="62" customWidth="1"/>
    <col min="13333" max="13333" width="12.5703125" style="62" customWidth="1"/>
    <col min="13334" max="13334" width="9.85546875" style="62" customWidth="1"/>
    <col min="13335" max="13335" width="14.7109375" style="62" customWidth="1"/>
    <col min="13336" max="13336" width="19.140625" style="62" customWidth="1"/>
    <col min="13337" max="13337" width="20.28515625" style="62" customWidth="1"/>
    <col min="13338" max="13338" width="13" style="62" customWidth="1"/>
    <col min="13339" max="13568" width="9.140625" style="62"/>
    <col min="13569" max="13569" width="17.85546875" style="62" customWidth="1"/>
    <col min="13570" max="13570" width="16.85546875" style="62" customWidth="1"/>
    <col min="13571" max="13571" width="14.5703125" style="62" customWidth="1"/>
    <col min="13572" max="13573" width="15.85546875" style="62" customWidth="1"/>
    <col min="13574" max="13574" width="17.140625" style="62" customWidth="1"/>
    <col min="13575" max="13575" width="13.140625" style="62" customWidth="1"/>
    <col min="13576" max="13576" width="12.140625" style="62" customWidth="1"/>
    <col min="13577" max="13577" width="12.85546875" style="62" customWidth="1"/>
    <col min="13578" max="13578" width="14.42578125" style="62" customWidth="1"/>
    <col min="13579" max="13579" width="12.7109375" style="62" customWidth="1"/>
    <col min="13580" max="13580" width="17.5703125" style="62" customWidth="1"/>
    <col min="13581" max="13581" width="12.5703125" style="62" customWidth="1"/>
    <col min="13582" max="13582" width="17" style="62" customWidth="1"/>
    <col min="13583" max="13583" width="13.140625" style="62" customWidth="1"/>
    <col min="13584" max="13588" width="14.7109375" style="62" customWidth="1"/>
    <col min="13589" max="13589" width="12.5703125" style="62" customWidth="1"/>
    <col min="13590" max="13590" width="9.85546875" style="62" customWidth="1"/>
    <col min="13591" max="13591" width="14.7109375" style="62" customWidth="1"/>
    <col min="13592" max="13592" width="19.140625" style="62" customWidth="1"/>
    <col min="13593" max="13593" width="20.28515625" style="62" customWidth="1"/>
    <col min="13594" max="13594" width="13" style="62" customWidth="1"/>
    <col min="13595" max="13824" width="9.140625" style="62"/>
    <col min="13825" max="13825" width="17.85546875" style="62" customWidth="1"/>
    <col min="13826" max="13826" width="16.85546875" style="62" customWidth="1"/>
    <col min="13827" max="13827" width="14.5703125" style="62" customWidth="1"/>
    <col min="13828" max="13829" width="15.85546875" style="62" customWidth="1"/>
    <col min="13830" max="13830" width="17.140625" style="62" customWidth="1"/>
    <col min="13831" max="13831" width="13.140625" style="62" customWidth="1"/>
    <col min="13832" max="13832" width="12.140625" style="62" customWidth="1"/>
    <col min="13833" max="13833" width="12.85546875" style="62" customWidth="1"/>
    <col min="13834" max="13834" width="14.42578125" style="62" customWidth="1"/>
    <col min="13835" max="13835" width="12.7109375" style="62" customWidth="1"/>
    <col min="13836" max="13836" width="17.5703125" style="62" customWidth="1"/>
    <col min="13837" max="13837" width="12.5703125" style="62" customWidth="1"/>
    <col min="13838" max="13838" width="17" style="62" customWidth="1"/>
    <col min="13839" max="13839" width="13.140625" style="62" customWidth="1"/>
    <col min="13840" max="13844" width="14.7109375" style="62" customWidth="1"/>
    <col min="13845" max="13845" width="12.5703125" style="62" customWidth="1"/>
    <col min="13846" max="13846" width="9.85546875" style="62" customWidth="1"/>
    <col min="13847" max="13847" width="14.7109375" style="62" customWidth="1"/>
    <col min="13848" max="13848" width="19.140625" style="62" customWidth="1"/>
    <col min="13849" max="13849" width="20.28515625" style="62" customWidth="1"/>
    <col min="13850" max="13850" width="13" style="62" customWidth="1"/>
    <col min="13851" max="14080" width="9.140625" style="62"/>
    <col min="14081" max="14081" width="17.85546875" style="62" customWidth="1"/>
    <col min="14082" max="14082" width="16.85546875" style="62" customWidth="1"/>
    <col min="14083" max="14083" width="14.5703125" style="62" customWidth="1"/>
    <col min="14084" max="14085" width="15.85546875" style="62" customWidth="1"/>
    <col min="14086" max="14086" width="17.140625" style="62" customWidth="1"/>
    <col min="14087" max="14087" width="13.140625" style="62" customWidth="1"/>
    <col min="14088" max="14088" width="12.140625" style="62" customWidth="1"/>
    <col min="14089" max="14089" width="12.85546875" style="62" customWidth="1"/>
    <col min="14090" max="14090" width="14.42578125" style="62" customWidth="1"/>
    <col min="14091" max="14091" width="12.7109375" style="62" customWidth="1"/>
    <col min="14092" max="14092" width="17.5703125" style="62" customWidth="1"/>
    <col min="14093" max="14093" width="12.5703125" style="62" customWidth="1"/>
    <col min="14094" max="14094" width="17" style="62" customWidth="1"/>
    <col min="14095" max="14095" width="13.140625" style="62" customWidth="1"/>
    <col min="14096" max="14100" width="14.7109375" style="62" customWidth="1"/>
    <col min="14101" max="14101" width="12.5703125" style="62" customWidth="1"/>
    <col min="14102" max="14102" width="9.85546875" style="62" customWidth="1"/>
    <col min="14103" max="14103" width="14.7109375" style="62" customWidth="1"/>
    <col min="14104" max="14104" width="19.140625" style="62" customWidth="1"/>
    <col min="14105" max="14105" width="20.28515625" style="62" customWidth="1"/>
    <col min="14106" max="14106" width="13" style="62" customWidth="1"/>
    <col min="14107" max="14336" width="9.140625" style="62"/>
    <col min="14337" max="14337" width="17.85546875" style="62" customWidth="1"/>
    <col min="14338" max="14338" width="16.85546875" style="62" customWidth="1"/>
    <col min="14339" max="14339" width="14.5703125" style="62" customWidth="1"/>
    <col min="14340" max="14341" width="15.85546875" style="62" customWidth="1"/>
    <col min="14342" max="14342" width="17.140625" style="62" customWidth="1"/>
    <col min="14343" max="14343" width="13.140625" style="62" customWidth="1"/>
    <col min="14344" max="14344" width="12.140625" style="62" customWidth="1"/>
    <col min="14345" max="14345" width="12.85546875" style="62" customWidth="1"/>
    <col min="14346" max="14346" width="14.42578125" style="62" customWidth="1"/>
    <col min="14347" max="14347" width="12.7109375" style="62" customWidth="1"/>
    <col min="14348" max="14348" width="17.5703125" style="62" customWidth="1"/>
    <col min="14349" max="14349" width="12.5703125" style="62" customWidth="1"/>
    <col min="14350" max="14350" width="17" style="62" customWidth="1"/>
    <col min="14351" max="14351" width="13.140625" style="62" customWidth="1"/>
    <col min="14352" max="14356" width="14.7109375" style="62" customWidth="1"/>
    <col min="14357" max="14357" width="12.5703125" style="62" customWidth="1"/>
    <col min="14358" max="14358" width="9.85546875" style="62" customWidth="1"/>
    <col min="14359" max="14359" width="14.7109375" style="62" customWidth="1"/>
    <col min="14360" max="14360" width="19.140625" style="62" customWidth="1"/>
    <col min="14361" max="14361" width="20.28515625" style="62" customWidth="1"/>
    <col min="14362" max="14362" width="13" style="62" customWidth="1"/>
    <col min="14363" max="14592" width="9.140625" style="62"/>
    <col min="14593" max="14593" width="17.85546875" style="62" customWidth="1"/>
    <col min="14594" max="14594" width="16.85546875" style="62" customWidth="1"/>
    <col min="14595" max="14595" width="14.5703125" style="62" customWidth="1"/>
    <col min="14596" max="14597" width="15.85546875" style="62" customWidth="1"/>
    <col min="14598" max="14598" width="17.140625" style="62" customWidth="1"/>
    <col min="14599" max="14599" width="13.140625" style="62" customWidth="1"/>
    <col min="14600" max="14600" width="12.140625" style="62" customWidth="1"/>
    <col min="14601" max="14601" width="12.85546875" style="62" customWidth="1"/>
    <col min="14602" max="14602" width="14.42578125" style="62" customWidth="1"/>
    <col min="14603" max="14603" width="12.7109375" style="62" customWidth="1"/>
    <col min="14604" max="14604" width="17.5703125" style="62" customWidth="1"/>
    <col min="14605" max="14605" width="12.5703125" style="62" customWidth="1"/>
    <col min="14606" max="14606" width="17" style="62" customWidth="1"/>
    <col min="14607" max="14607" width="13.140625" style="62" customWidth="1"/>
    <col min="14608" max="14612" width="14.7109375" style="62" customWidth="1"/>
    <col min="14613" max="14613" width="12.5703125" style="62" customWidth="1"/>
    <col min="14614" max="14614" width="9.85546875" style="62" customWidth="1"/>
    <col min="14615" max="14615" width="14.7109375" style="62" customWidth="1"/>
    <col min="14616" max="14616" width="19.140625" style="62" customWidth="1"/>
    <col min="14617" max="14617" width="20.28515625" style="62" customWidth="1"/>
    <col min="14618" max="14618" width="13" style="62" customWidth="1"/>
    <col min="14619" max="14848" width="9.140625" style="62"/>
    <col min="14849" max="14849" width="17.85546875" style="62" customWidth="1"/>
    <col min="14850" max="14850" width="16.85546875" style="62" customWidth="1"/>
    <col min="14851" max="14851" width="14.5703125" style="62" customWidth="1"/>
    <col min="14852" max="14853" width="15.85546875" style="62" customWidth="1"/>
    <col min="14854" max="14854" width="17.140625" style="62" customWidth="1"/>
    <col min="14855" max="14855" width="13.140625" style="62" customWidth="1"/>
    <col min="14856" max="14856" width="12.140625" style="62" customWidth="1"/>
    <col min="14857" max="14857" width="12.85546875" style="62" customWidth="1"/>
    <col min="14858" max="14858" width="14.42578125" style="62" customWidth="1"/>
    <col min="14859" max="14859" width="12.7109375" style="62" customWidth="1"/>
    <col min="14860" max="14860" width="17.5703125" style="62" customWidth="1"/>
    <col min="14861" max="14861" width="12.5703125" style="62" customWidth="1"/>
    <col min="14862" max="14862" width="17" style="62" customWidth="1"/>
    <col min="14863" max="14863" width="13.140625" style="62" customWidth="1"/>
    <col min="14864" max="14868" width="14.7109375" style="62" customWidth="1"/>
    <col min="14869" max="14869" width="12.5703125" style="62" customWidth="1"/>
    <col min="14870" max="14870" width="9.85546875" style="62" customWidth="1"/>
    <col min="14871" max="14871" width="14.7109375" style="62" customWidth="1"/>
    <col min="14872" max="14872" width="19.140625" style="62" customWidth="1"/>
    <col min="14873" max="14873" width="20.28515625" style="62" customWidth="1"/>
    <col min="14874" max="14874" width="13" style="62" customWidth="1"/>
    <col min="14875" max="15104" width="9.140625" style="62"/>
    <col min="15105" max="15105" width="17.85546875" style="62" customWidth="1"/>
    <col min="15106" max="15106" width="16.85546875" style="62" customWidth="1"/>
    <col min="15107" max="15107" width="14.5703125" style="62" customWidth="1"/>
    <col min="15108" max="15109" width="15.85546875" style="62" customWidth="1"/>
    <col min="15110" max="15110" width="17.140625" style="62" customWidth="1"/>
    <col min="15111" max="15111" width="13.140625" style="62" customWidth="1"/>
    <col min="15112" max="15112" width="12.140625" style="62" customWidth="1"/>
    <col min="15113" max="15113" width="12.85546875" style="62" customWidth="1"/>
    <col min="15114" max="15114" width="14.42578125" style="62" customWidth="1"/>
    <col min="15115" max="15115" width="12.7109375" style="62" customWidth="1"/>
    <col min="15116" max="15116" width="17.5703125" style="62" customWidth="1"/>
    <col min="15117" max="15117" width="12.5703125" style="62" customWidth="1"/>
    <col min="15118" max="15118" width="17" style="62" customWidth="1"/>
    <col min="15119" max="15119" width="13.140625" style="62" customWidth="1"/>
    <col min="15120" max="15124" width="14.7109375" style="62" customWidth="1"/>
    <col min="15125" max="15125" width="12.5703125" style="62" customWidth="1"/>
    <col min="15126" max="15126" width="9.85546875" style="62" customWidth="1"/>
    <col min="15127" max="15127" width="14.7109375" style="62" customWidth="1"/>
    <col min="15128" max="15128" width="19.140625" style="62" customWidth="1"/>
    <col min="15129" max="15129" width="20.28515625" style="62" customWidth="1"/>
    <col min="15130" max="15130" width="13" style="62" customWidth="1"/>
    <col min="15131" max="15360" width="9.140625" style="62"/>
    <col min="15361" max="15361" width="17.85546875" style="62" customWidth="1"/>
    <col min="15362" max="15362" width="16.85546875" style="62" customWidth="1"/>
    <col min="15363" max="15363" width="14.5703125" style="62" customWidth="1"/>
    <col min="15364" max="15365" width="15.85546875" style="62" customWidth="1"/>
    <col min="15366" max="15366" width="17.140625" style="62" customWidth="1"/>
    <col min="15367" max="15367" width="13.140625" style="62" customWidth="1"/>
    <col min="15368" max="15368" width="12.140625" style="62" customWidth="1"/>
    <col min="15369" max="15369" width="12.85546875" style="62" customWidth="1"/>
    <col min="15370" max="15370" width="14.42578125" style="62" customWidth="1"/>
    <col min="15371" max="15371" width="12.7109375" style="62" customWidth="1"/>
    <col min="15372" max="15372" width="17.5703125" style="62" customWidth="1"/>
    <col min="15373" max="15373" width="12.5703125" style="62" customWidth="1"/>
    <col min="15374" max="15374" width="17" style="62" customWidth="1"/>
    <col min="15375" max="15375" width="13.140625" style="62" customWidth="1"/>
    <col min="15376" max="15380" width="14.7109375" style="62" customWidth="1"/>
    <col min="15381" max="15381" width="12.5703125" style="62" customWidth="1"/>
    <col min="15382" max="15382" width="9.85546875" style="62" customWidth="1"/>
    <col min="15383" max="15383" width="14.7109375" style="62" customWidth="1"/>
    <col min="15384" max="15384" width="19.140625" style="62" customWidth="1"/>
    <col min="15385" max="15385" width="20.28515625" style="62" customWidth="1"/>
    <col min="15386" max="15386" width="13" style="62" customWidth="1"/>
    <col min="15387" max="15616" width="9.140625" style="62"/>
    <col min="15617" max="15617" width="17.85546875" style="62" customWidth="1"/>
    <col min="15618" max="15618" width="16.85546875" style="62" customWidth="1"/>
    <col min="15619" max="15619" width="14.5703125" style="62" customWidth="1"/>
    <col min="15620" max="15621" width="15.85546875" style="62" customWidth="1"/>
    <col min="15622" max="15622" width="17.140625" style="62" customWidth="1"/>
    <col min="15623" max="15623" width="13.140625" style="62" customWidth="1"/>
    <col min="15624" max="15624" width="12.140625" style="62" customWidth="1"/>
    <col min="15625" max="15625" width="12.85546875" style="62" customWidth="1"/>
    <col min="15626" max="15626" width="14.42578125" style="62" customWidth="1"/>
    <col min="15627" max="15627" width="12.7109375" style="62" customWidth="1"/>
    <col min="15628" max="15628" width="17.5703125" style="62" customWidth="1"/>
    <col min="15629" max="15629" width="12.5703125" style="62" customWidth="1"/>
    <col min="15630" max="15630" width="17" style="62" customWidth="1"/>
    <col min="15631" max="15631" width="13.140625" style="62" customWidth="1"/>
    <col min="15632" max="15636" width="14.7109375" style="62" customWidth="1"/>
    <col min="15637" max="15637" width="12.5703125" style="62" customWidth="1"/>
    <col min="15638" max="15638" width="9.85546875" style="62" customWidth="1"/>
    <col min="15639" max="15639" width="14.7109375" style="62" customWidth="1"/>
    <col min="15640" max="15640" width="19.140625" style="62" customWidth="1"/>
    <col min="15641" max="15641" width="20.28515625" style="62" customWidth="1"/>
    <col min="15642" max="15642" width="13" style="62" customWidth="1"/>
    <col min="15643" max="15872" width="9.140625" style="62"/>
    <col min="15873" max="15873" width="17.85546875" style="62" customWidth="1"/>
    <col min="15874" max="15874" width="16.85546875" style="62" customWidth="1"/>
    <col min="15875" max="15875" width="14.5703125" style="62" customWidth="1"/>
    <col min="15876" max="15877" width="15.85546875" style="62" customWidth="1"/>
    <col min="15878" max="15878" width="17.140625" style="62" customWidth="1"/>
    <col min="15879" max="15879" width="13.140625" style="62" customWidth="1"/>
    <col min="15880" max="15880" width="12.140625" style="62" customWidth="1"/>
    <col min="15881" max="15881" width="12.85546875" style="62" customWidth="1"/>
    <col min="15882" max="15882" width="14.42578125" style="62" customWidth="1"/>
    <col min="15883" max="15883" width="12.7109375" style="62" customWidth="1"/>
    <col min="15884" max="15884" width="17.5703125" style="62" customWidth="1"/>
    <col min="15885" max="15885" width="12.5703125" style="62" customWidth="1"/>
    <col min="15886" max="15886" width="17" style="62" customWidth="1"/>
    <col min="15887" max="15887" width="13.140625" style="62" customWidth="1"/>
    <col min="15888" max="15892" width="14.7109375" style="62" customWidth="1"/>
    <col min="15893" max="15893" width="12.5703125" style="62" customWidth="1"/>
    <col min="15894" max="15894" width="9.85546875" style="62" customWidth="1"/>
    <col min="15895" max="15895" width="14.7109375" style="62" customWidth="1"/>
    <col min="15896" max="15896" width="19.140625" style="62" customWidth="1"/>
    <col min="15897" max="15897" width="20.28515625" style="62" customWidth="1"/>
    <col min="15898" max="15898" width="13" style="62" customWidth="1"/>
    <col min="15899" max="16128" width="9.140625" style="62"/>
    <col min="16129" max="16129" width="17.85546875" style="62" customWidth="1"/>
    <col min="16130" max="16130" width="16.85546875" style="62" customWidth="1"/>
    <col min="16131" max="16131" width="14.5703125" style="62" customWidth="1"/>
    <col min="16132" max="16133" width="15.85546875" style="62" customWidth="1"/>
    <col min="16134" max="16134" width="17.140625" style="62" customWidth="1"/>
    <col min="16135" max="16135" width="13.140625" style="62" customWidth="1"/>
    <col min="16136" max="16136" width="12.140625" style="62" customWidth="1"/>
    <col min="16137" max="16137" width="12.85546875" style="62" customWidth="1"/>
    <col min="16138" max="16138" width="14.42578125" style="62" customWidth="1"/>
    <col min="16139" max="16139" width="12.7109375" style="62" customWidth="1"/>
    <col min="16140" max="16140" width="17.5703125" style="62" customWidth="1"/>
    <col min="16141" max="16141" width="12.5703125" style="62" customWidth="1"/>
    <col min="16142" max="16142" width="17" style="62" customWidth="1"/>
    <col min="16143" max="16143" width="13.140625" style="62" customWidth="1"/>
    <col min="16144" max="16148" width="14.7109375" style="62" customWidth="1"/>
    <col min="16149" max="16149" width="12.5703125" style="62" customWidth="1"/>
    <col min="16150" max="16150" width="9.85546875" style="62" customWidth="1"/>
    <col min="16151" max="16151" width="14.7109375" style="62" customWidth="1"/>
    <col min="16152" max="16152" width="19.140625" style="62" customWidth="1"/>
    <col min="16153" max="16153" width="20.28515625" style="62" customWidth="1"/>
    <col min="16154" max="16154" width="13" style="62" customWidth="1"/>
    <col min="16155" max="16384" width="9.140625" style="62"/>
  </cols>
  <sheetData>
    <row r="1" spans="1:25" ht="24" customHeight="1" x14ac:dyDescent="0.2">
      <c r="A1" s="688" t="s">
        <v>671</v>
      </c>
      <c r="B1" s="688"/>
      <c r="C1" s="688"/>
      <c r="D1" s="688"/>
      <c r="E1" s="688"/>
      <c r="F1" s="688"/>
      <c r="G1" s="688"/>
      <c r="H1" s="688"/>
      <c r="I1" s="688"/>
      <c r="J1" s="688"/>
      <c r="K1" s="688"/>
      <c r="L1" s="688"/>
      <c r="M1" s="688"/>
      <c r="N1" s="688"/>
      <c r="O1" s="688"/>
      <c r="P1" s="688"/>
      <c r="Q1" s="688"/>
      <c r="R1" s="688"/>
      <c r="S1" s="688"/>
      <c r="T1" s="688"/>
      <c r="U1" s="688"/>
      <c r="V1" s="688"/>
      <c r="W1" s="688"/>
      <c r="X1" s="688"/>
      <c r="Y1" s="688"/>
    </row>
    <row r="2" spans="1:25" ht="18.75" x14ac:dyDescent="0.2">
      <c r="A2" s="688" t="s">
        <v>1051</v>
      </c>
      <c r="B2" s="688"/>
      <c r="C2" s="688"/>
      <c r="D2" s="688"/>
      <c r="E2" s="688"/>
      <c r="F2" s="688"/>
      <c r="G2" s="688"/>
      <c r="H2" s="688"/>
      <c r="I2" s="688"/>
      <c r="J2" s="688"/>
      <c r="K2" s="688"/>
      <c r="L2" s="688"/>
      <c r="M2" s="688"/>
      <c r="N2" s="688"/>
      <c r="O2" s="688"/>
      <c r="P2" s="688"/>
      <c r="Q2" s="688"/>
      <c r="R2" s="688"/>
      <c r="S2" s="688"/>
      <c r="T2" s="688"/>
      <c r="U2" s="688"/>
      <c r="V2" s="688"/>
      <c r="W2" s="688"/>
      <c r="X2" s="688"/>
      <c r="Y2" s="688"/>
    </row>
    <row r="4" spans="1:25" ht="18" x14ac:dyDescent="0.2">
      <c r="A4" s="689" t="s">
        <v>326</v>
      </c>
      <c r="B4" s="689"/>
      <c r="C4" s="689"/>
      <c r="D4" s="689"/>
      <c r="E4" s="689"/>
      <c r="F4" s="689"/>
      <c r="G4" s="689"/>
      <c r="H4" s="689"/>
      <c r="I4" s="689"/>
      <c r="J4" s="689"/>
      <c r="K4" s="689"/>
      <c r="L4" s="689"/>
      <c r="M4" s="689"/>
      <c r="N4" s="689"/>
      <c r="O4" s="689"/>
      <c r="P4" s="689"/>
      <c r="Q4" s="689"/>
      <c r="R4" s="689"/>
      <c r="S4" s="689"/>
      <c r="T4" s="689"/>
      <c r="U4" s="689"/>
      <c r="V4" s="689"/>
      <c r="W4" s="689"/>
      <c r="X4" s="689"/>
      <c r="Y4" s="689"/>
    </row>
    <row r="5" spans="1:25" ht="18" x14ac:dyDescent="0.2">
      <c r="A5" s="63"/>
      <c r="B5" s="63"/>
      <c r="C5" s="63"/>
      <c r="D5" s="64"/>
      <c r="E5" s="64"/>
      <c r="F5" s="64"/>
      <c r="G5" s="64"/>
      <c r="H5" s="64"/>
      <c r="I5" s="64"/>
      <c r="J5" s="64"/>
      <c r="K5" s="64"/>
      <c r="L5" s="64"/>
      <c r="M5" s="64"/>
      <c r="N5" s="64"/>
      <c r="O5" s="64"/>
      <c r="P5" s="64"/>
      <c r="Q5" s="64"/>
      <c r="R5" s="64"/>
      <c r="S5" s="64"/>
      <c r="T5" s="64"/>
    </row>
    <row r="7" spans="1:25" ht="70.5" customHeight="1" x14ac:dyDescent="0.2">
      <c r="A7" s="690" t="s">
        <v>327</v>
      </c>
      <c r="B7" s="692" t="s">
        <v>328</v>
      </c>
      <c r="C7" s="692" t="s">
        <v>329</v>
      </c>
      <c r="D7" s="690" t="s">
        <v>330</v>
      </c>
      <c r="E7" s="690" t="s">
        <v>331</v>
      </c>
      <c r="F7" s="690" t="s">
        <v>332</v>
      </c>
      <c r="G7" s="690" t="s">
        <v>333</v>
      </c>
      <c r="H7" s="690" t="s">
        <v>334</v>
      </c>
      <c r="I7" s="692" t="s">
        <v>335</v>
      </c>
      <c r="J7" s="709" t="s">
        <v>336</v>
      </c>
      <c r="K7" s="709" t="s">
        <v>337</v>
      </c>
      <c r="L7" s="690" t="s">
        <v>338</v>
      </c>
      <c r="M7" s="690" t="s">
        <v>339</v>
      </c>
      <c r="N7" s="690" t="s">
        <v>340</v>
      </c>
      <c r="O7" s="697" t="s">
        <v>341</v>
      </c>
      <c r="P7" s="697" t="s">
        <v>342</v>
      </c>
      <c r="Q7" s="709" t="s">
        <v>343</v>
      </c>
      <c r="R7" s="709"/>
      <c r="S7" s="709"/>
      <c r="T7" s="709"/>
      <c r="U7" s="709"/>
      <c r="V7" s="709"/>
      <c r="W7" s="690" t="s">
        <v>499</v>
      </c>
      <c r="X7" s="690"/>
      <c r="Y7" s="694" t="s">
        <v>344</v>
      </c>
    </row>
    <row r="8" spans="1:25" ht="38.25" customHeight="1" x14ac:dyDescent="0.2">
      <c r="A8" s="691"/>
      <c r="B8" s="693"/>
      <c r="C8" s="693"/>
      <c r="D8" s="690"/>
      <c r="E8" s="691"/>
      <c r="F8" s="690"/>
      <c r="G8" s="690"/>
      <c r="H8" s="690"/>
      <c r="I8" s="714"/>
      <c r="J8" s="710"/>
      <c r="K8" s="710"/>
      <c r="L8" s="691"/>
      <c r="M8" s="691"/>
      <c r="N8" s="691"/>
      <c r="O8" s="698"/>
      <c r="P8" s="698"/>
      <c r="Q8" s="696" t="s">
        <v>672</v>
      </c>
      <c r="R8" s="696" t="s">
        <v>673</v>
      </c>
      <c r="S8" s="696" t="s">
        <v>674</v>
      </c>
      <c r="T8" s="715" t="s">
        <v>345</v>
      </c>
      <c r="U8" s="703" t="s">
        <v>346</v>
      </c>
      <c r="V8" s="703"/>
      <c r="W8" s="690" t="s">
        <v>347</v>
      </c>
      <c r="X8" s="690" t="s">
        <v>348</v>
      </c>
      <c r="Y8" s="695"/>
    </row>
    <row r="9" spans="1:25" ht="24" customHeight="1" x14ac:dyDescent="0.2">
      <c r="A9" s="691"/>
      <c r="B9" s="693"/>
      <c r="C9" s="693"/>
      <c r="D9" s="690"/>
      <c r="E9" s="691"/>
      <c r="F9" s="690"/>
      <c r="G9" s="690"/>
      <c r="H9" s="690"/>
      <c r="I9" s="714"/>
      <c r="J9" s="710"/>
      <c r="K9" s="710"/>
      <c r="L9" s="691"/>
      <c r="M9" s="691"/>
      <c r="N9" s="691"/>
      <c r="O9" s="698"/>
      <c r="P9" s="698"/>
      <c r="Q9" s="691"/>
      <c r="R9" s="691"/>
      <c r="S9" s="691"/>
      <c r="T9" s="710"/>
      <c r="U9" s="65" t="s">
        <v>349</v>
      </c>
      <c r="V9" s="65" t="s">
        <v>350</v>
      </c>
      <c r="W9" s="690"/>
      <c r="X9" s="690"/>
      <c r="Y9" s="695"/>
    </row>
    <row r="10" spans="1:25" ht="20.100000000000001" customHeight="1" x14ac:dyDescent="0.2">
      <c r="A10" s="66" t="s">
        <v>590</v>
      </c>
      <c r="B10" s="66" t="s">
        <v>352</v>
      </c>
      <c r="C10" s="67">
        <v>2021</v>
      </c>
      <c r="D10" s="67">
        <v>2021</v>
      </c>
      <c r="E10" s="67" t="s">
        <v>363</v>
      </c>
      <c r="F10" s="67" t="s">
        <v>353</v>
      </c>
      <c r="G10" s="67" t="s">
        <v>363</v>
      </c>
      <c r="H10" s="67" t="s">
        <v>363</v>
      </c>
      <c r="I10" s="67" t="s">
        <v>355</v>
      </c>
      <c r="J10" s="68" t="s">
        <v>364</v>
      </c>
      <c r="K10" s="67" t="s">
        <v>365</v>
      </c>
      <c r="L10" s="68" t="s">
        <v>515</v>
      </c>
      <c r="M10" s="68">
        <v>1</v>
      </c>
      <c r="N10" s="67"/>
      <c r="O10" s="68"/>
      <c r="P10" s="68"/>
      <c r="Q10" s="65">
        <f>'TRIBUTI SERVIZI '!H3</f>
        <v>564.04999999999995</v>
      </c>
      <c r="R10" s="65"/>
      <c r="S10" s="65"/>
      <c r="T10" s="65">
        <f>SUM(Q10:S10)</f>
        <v>564.04999999999995</v>
      </c>
      <c r="U10" s="65">
        <v>0</v>
      </c>
      <c r="V10" s="67">
        <v>0</v>
      </c>
      <c r="W10" s="69" t="s">
        <v>359</v>
      </c>
      <c r="X10" s="70" t="s">
        <v>360</v>
      </c>
      <c r="Y10" s="71"/>
    </row>
    <row r="11" spans="1:25" ht="20.100000000000001" customHeight="1" x14ac:dyDescent="0.2">
      <c r="A11" s="66" t="s">
        <v>591</v>
      </c>
      <c r="B11" s="66" t="s">
        <v>352</v>
      </c>
      <c r="C11" s="67">
        <v>2021</v>
      </c>
      <c r="D11" s="67">
        <v>2021</v>
      </c>
      <c r="E11" s="67" t="s">
        <v>363</v>
      </c>
      <c r="F11" s="67"/>
      <c r="G11" s="67"/>
      <c r="H11" s="67"/>
      <c r="I11" s="67"/>
      <c r="J11" s="68" t="s">
        <v>361</v>
      </c>
      <c r="K11" s="67" t="s">
        <v>365</v>
      </c>
      <c r="L11" s="68" t="s">
        <v>516</v>
      </c>
      <c r="M11" s="68">
        <v>1</v>
      </c>
      <c r="N11" s="67"/>
      <c r="O11" s="68"/>
      <c r="P11" s="68"/>
      <c r="Q11" s="65">
        <f>'TRIBUTI SERVIZI '!H4</f>
        <v>104.79</v>
      </c>
      <c r="R11" s="65"/>
      <c r="S11" s="65"/>
      <c r="T11" s="148">
        <f t="shared" ref="T11:T72" si="0">SUM(Q11:S11)</f>
        <v>104.79</v>
      </c>
      <c r="U11" s="65">
        <v>0</v>
      </c>
      <c r="V11" s="67">
        <v>0</v>
      </c>
      <c r="W11" s="69" t="s">
        <v>359</v>
      </c>
      <c r="X11" s="70" t="s">
        <v>360</v>
      </c>
      <c r="Y11" s="71"/>
    </row>
    <row r="12" spans="1:25" ht="20.100000000000001" customHeight="1" x14ac:dyDescent="0.2">
      <c r="A12" s="66" t="s">
        <v>649</v>
      </c>
      <c r="B12" s="66" t="s">
        <v>352</v>
      </c>
      <c r="C12" s="67">
        <v>2021</v>
      </c>
      <c r="D12" s="67">
        <v>2021</v>
      </c>
      <c r="E12" s="67" t="s">
        <v>363</v>
      </c>
      <c r="F12" s="67" t="s">
        <v>353</v>
      </c>
      <c r="G12" s="67" t="s">
        <v>363</v>
      </c>
      <c r="H12" s="67" t="s">
        <v>363</v>
      </c>
      <c r="I12" s="67" t="s">
        <v>355</v>
      </c>
      <c r="J12" s="68" t="s">
        <v>364</v>
      </c>
      <c r="K12" s="67" t="s">
        <v>373</v>
      </c>
      <c r="L12" s="68" t="s">
        <v>517</v>
      </c>
      <c r="M12" s="68">
        <v>1</v>
      </c>
      <c r="N12" s="67"/>
      <c r="O12" s="68"/>
      <c r="P12" s="68"/>
      <c r="Q12" s="65">
        <f>'TRIBUTI SERVIZI '!H5</f>
        <v>20.100000000000001</v>
      </c>
      <c r="R12" s="65"/>
      <c r="S12" s="65"/>
      <c r="T12" s="148">
        <f t="shared" si="0"/>
        <v>20.100000000000001</v>
      </c>
      <c r="U12" s="65">
        <v>0</v>
      </c>
      <c r="V12" s="67">
        <v>0</v>
      </c>
      <c r="W12" s="69" t="s">
        <v>359</v>
      </c>
      <c r="X12" s="70" t="s">
        <v>360</v>
      </c>
      <c r="Y12" s="71"/>
    </row>
    <row r="13" spans="1:25" ht="20.100000000000001" customHeight="1" x14ac:dyDescent="0.2">
      <c r="A13" s="66" t="s">
        <v>650</v>
      </c>
      <c r="B13" s="66" t="s">
        <v>352</v>
      </c>
      <c r="C13" s="67">
        <v>2021</v>
      </c>
      <c r="D13" s="67">
        <v>2021</v>
      </c>
      <c r="E13" s="67" t="s">
        <v>363</v>
      </c>
      <c r="F13" s="67" t="s">
        <v>363</v>
      </c>
      <c r="G13" s="67" t="s">
        <v>363</v>
      </c>
      <c r="H13" s="67" t="s">
        <v>363</v>
      </c>
      <c r="I13" s="67" t="s">
        <v>355</v>
      </c>
      <c r="J13" s="68" t="s">
        <v>399</v>
      </c>
      <c r="K13" s="67" t="s">
        <v>400</v>
      </c>
      <c r="L13" s="68" t="s">
        <v>518</v>
      </c>
      <c r="M13" s="68">
        <v>1</v>
      </c>
      <c r="N13" s="67"/>
      <c r="O13" s="68"/>
      <c r="P13" s="68"/>
      <c r="Q13" s="65">
        <f>'TRIBUTI SERVIZI '!H6</f>
        <v>13000</v>
      </c>
      <c r="R13" s="65"/>
      <c r="S13" s="65"/>
      <c r="T13" s="148">
        <f t="shared" si="0"/>
        <v>13000</v>
      </c>
      <c r="U13" s="65">
        <v>0</v>
      </c>
      <c r="V13" s="67">
        <v>0</v>
      </c>
      <c r="W13" s="74" t="s">
        <v>370</v>
      </c>
      <c r="X13" s="70" t="s">
        <v>371</v>
      </c>
      <c r="Y13" s="71"/>
    </row>
    <row r="14" spans="1:25" ht="20.100000000000001" customHeight="1" x14ac:dyDescent="0.2">
      <c r="A14" s="66" t="s">
        <v>651</v>
      </c>
      <c r="B14" s="66" t="s">
        <v>352</v>
      </c>
      <c r="C14" s="67">
        <v>2021</v>
      </c>
      <c r="D14" s="67">
        <v>2021</v>
      </c>
      <c r="E14" s="67" t="s">
        <v>363</v>
      </c>
      <c r="F14" s="67" t="s">
        <v>363</v>
      </c>
      <c r="G14" s="67" t="s">
        <v>363</v>
      </c>
      <c r="H14" s="67" t="s">
        <v>363</v>
      </c>
      <c r="I14" s="67" t="s">
        <v>355</v>
      </c>
      <c r="J14" s="68" t="s">
        <v>406</v>
      </c>
      <c r="K14" s="67" t="s">
        <v>422</v>
      </c>
      <c r="L14" s="68" t="s">
        <v>1041</v>
      </c>
      <c r="M14" s="68">
        <v>1</v>
      </c>
      <c r="N14" s="67"/>
      <c r="O14" s="68"/>
      <c r="P14" s="68"/>
      <c r="Q14" s="65">
        <f>'TRIBUTI SERVIZI '!N14</f>
        <v>19808.41</v>
      </c>
      <c r="R14" s="65"/>
      <c r="S14" s="65"/>
      <c r="T14" s="148">
        <f t="shared" si="0"/>
        <v>19808.41</v>
      </c>
      <c r="U14" s="65">
        <v>0</v>
      </c>
      <c r="V14" s="67">
        <v>0</v>
      </c>
      <c r="W14" s="69" t="s">
        <v>359</v>
      </c>
      <c r="X14" s="70" t="s">
        <v>360</v>
      </c>
      <c r="Y14" s="71"/>
    </row>
    <row r="15" spans="1:25" ht="20.100000000000001" customHeight="1" x14ac:dyDescent="0.25">
      <c r="A15" s="66" t="s">
        <v>652</v>
      </c>
      <c r="B15" s="66" t="s">
        <v>352</v>
      </c>
      <c r="C15" s="67">
        <v>2021</v>
      </c>
      <c r="D15" s="67">
        <v>2021</v>
      </c>
      <c r="E15" s="67" t="s">
        <v>363</v>
      </c>
      <c r="F15" s="67"/>
      <c r="G15" s="67"/>
      <c r="H15" s="67"/>
      <c r="I15" s="67"/>
      <c r="J15" s="68"/>
      <c r="K15" t="s">
        <v>456</v>
      </c>
      <c r="L15" s="68" t="s">
        <v>1042</v>
      </c>
      <c r="M15" s="68">
        <v>1</v>
      </c>
      <c r="N15" s="67"/>
      <c r="O15" s="68"/>
      <c r="P15" s="68"/>
      <c r="Q15" s="65">
        <f>'TRIBUTI SERVIZI '!N28</f>
        <v>30914.969999999998</v>
      </c>
      <c r="R15" s="65"/>
      <c r="S15" s="65"/>
      <c r="T15" s="148">
        <f t="shared" si="0"/>
        <v>30914.969999999998</v>
      </c>
      <c r="U15" s="65"/>
      <c r="V15" s="67"/>
      <c r="W15" s="69"/>
      <c r="X15" s="70"/>
      <c r="Y15" s="71"/>
    </row>
    <row r="16" spans="1:25" ht="20.100000000000001" customHeight="1" x14ac:dyDescent="0.25">
      <c r="A16" s="66" t="s">
        <v>653</v>
      </c>
      <c r="B16" s="66" t="s">
        <v>352</v>
      </c>
      <c r="C16" s="67">
        <v>2021</v>
      </c>
      <c r="D16" s="67">
        <v>2021</v>
      </c>
      <c r="E16" s="67" t="s">
        <v>363</v>
      </c>
      <c r="F16" s="67"/>
      <c r="G16" s="67"/>
      <c r="H16" s="67"/>
      <c r="I16" s="67"/>
      <c r="J16" s="68"/>
      <c r="K16" t="s">
        <v>654</v>
      </c>
      <c r="L16" s="68" t="s">
        <v>1043</v>
      </c>
      <c r="M16" s="68">
        <v>1</v>
      </c>
      <c r="N16" s="67"/>
      <c r="O16" s="68"/>
      <c r="P16" s="68"/>
      <c r="Q16" s="65">
        <f>'TRIBUTI SERVIZI '!H30</f>
        <v>31500</v>
      </c>
      <c r="R16" s="65"/>
      <c r="S16" s="65"/>
      <c r="T16" s="148">
        <f t="shared" si="0"/>
        <v>31500</v>
      </c>
      <c r="U16" s="65"/>
      <c r="V16" s="67"/>
      <c r="W16" s="69"/>
      <c r="X16" s="70"/>
      <c r="Y16" s="71"/>
    </row>
    <row r="17" spans="1:25" ht="20.100000000000001" customHeight="1" x14ac:dyDescent="0.2">
      <c r="A17" s="66" t="s">
        <v>656</v>
      </c>
      <c r="B17" s="66" t="s">
        <v>352</v>
      </c>
      <c r="C17" s="67">
        <v>2021</v>
      </c>
      <c r="D17" s="67">
        <v>2021</v>
      </c>
      <c r="E17" s="67" t="s">
        <v>363</v>
      </c>
      <c r="F17" s="67" t="s">
        <v>363</v>
      </c>
      <c r="G17" s="67" t="s">
        <v>363</v>
      </c>
      <c r="H17" s="67" t="s">
        <v>363</v>
      </c>
      <c r="I17" s="67" t="s">
        <v>355</v>
      </c>
      <c r="J17" s="68" t="s">
        <v>406</v>
      </c>
      <c r="K17" s="67" t="s">
        <v>428</v>
      </c>
      <c r="L17" s="68" t="s">
        <v>519</v>
      </c>
      <c r="M17" s="68">
        <v>1</v>
      </c>
      <c r="N17" s="67"/>
      <c r="O17" s="68"/>
      <c r="P17" s="68"/>
      <c r="Q17" s="65">
        <f>'TRIBUTI SERVIZI '!H32</f>
        <v>960</v>
      </c>
      <c r="R17" s="65"/>
      <c r="S17" s="65"/>
      <c r="T17" s="148">
        <f t="shared" si="0"/>
        <v>960</v>
      </c>
      <c r="U17" s="65">
        <v>0</v>
      </c>
      <c r="V17" s="67">
        <v>0</v>
      </c>
      <c r="W17" s="69" t="s">
        <v>359</v>
      </c>
      <c r="X17" s="70" t="s">
        <v>360</v>
      </c>
      <c r="Y17" s="71"/>
    </row>
    <row r="18" spans="1:25" ht="20.100000000000001" customHeight="1" x14ac:dyDescent="0.25">
      <c r="A18" s="66" t="s">
        <v>658</v>
      </c>
      <c r="B18" s="66" t="s">
        <v>352</v>
      </c>
      <c r="C18" s="67">
        <v>2021</v>
      </c>
      <c r="D18" s="67">
        <v>2021</v>
      </c>
      <c r="E18" s="67" t="s">
        <v>363</v>
      </c>
      <c r="F18" s="67"/>
      <c r="G18" s="67"/>
      <c r="H18" s="67"/>
      <c r="I18" s="67"/>
      <c r="J18" s="68"/>
      <c r="K18" t="s">
        <v>660</v>
      </c>
      <c r="L18" s="68" t="s">
        <v>521</v>
      </c>
      <c r="M18" s="68">
        <v>1</v>
      </c>
      <c r="N18" s="67"/>
      <c r="O18" s="68"/>
      <c r="P18" s="68"/>
      <c r="Q18" s="65">
        <f>'TRIBUTI SERVIZI '!H34</f>
        <v>0</v>
      </c>
      <c r="R18" s="65"/>
      <c r="S18" s="65"/>
      <c r="T18" s="148">
        <f t="shared" si="0"/>
        <v>0</v>
      </c>
      <c r="U18" s="65"/>
      <c r="V18" s="67"/>
      <c r="W18" s="69"/>
      <c r="X18" s="70"/>
      <c r="Y18" s="71"/>
    </row>
    <row r="19" spans="1:25" ht="20.100000000000001" customHeight="1" x14ac:dyDescent="0.25">
      <c r="A19" s="66" t="s">
        <v>661</v>
      </c>
      <c r="B19" s="66" t="s">
        <v>352</v>
      </c>
      <c r="C19" s="67">
        <v>2021</v>
      </c>
      <c r="D19" s="67">
        <v>2021</v>
      </c>
      <c r="E19" s="67" t="s">
        <v>363</v>
      </c>
      <c r="F19" s="67"/>
      <c r="G19" s="67"/>
      <c r="H19" s="67"/>
      <c r="I19" s="67"/>
      <c r="J19" s="68"/>
      <c r="K19" t="s">
        <v>668</v>
      </c>
      <c r="L19" s="68" t="s">
        <v>523</v>
      </c>
      <c r="M19" s="68">
        <v>1</v>
      </c>
      <c r="N19" s="67"/>
      <c r="O19" s="68"/>
      <c r="P19" s="68"/>
      <c r="Q19" s="65">
        <f>'TRIBUTI SERVIZI '!N37</f>
        <v>12046.15</v>
      </c>
      <c r="R19" s="65"/>
      <c r="S19" s="65"/>
      <c r="T19" s="148">
        <f t="shared" si="0"/>
        <v>12046.15</v>
      </c>
      <c r="U19" s="65"/>
      <c r="V19" s="67"/>
      <c r="W19" s="69"/>
      <c r="X19" s="70"/>
      <c r="Y19" s="71"/>
    </row>
    <row r="20" spans="1:25" ht="20.100000000000001" customHeight="1" x14ac:dyDescent="0.25">
      <c r="A20" s="66"/>
      <c r="B20" s="66"/>
      <c r="C20" s="67"/>
      <c r="D20" s="67"/>
      <c r="E20" s="67"/>
      <c r="F20" s="67"/>
      <c r="G20" s="67"/>
      <c r="H20" s="67"/>
      <c r="I20" s="67"/>
      <c r="J20" s="68"/>
      <c r="K20"/>
      <c r="L20" s="68" t="s">
        <v>1044</v>
      </c>
      <c r="M20" s="68"/>
      <c r="N20" s="67"/>
      <c r="O20" s="68"/>
      <c r="P20" s="68"/>
      <c r="Q20" s="148">
        <f>'TRIBUTI SERVIZI '!H39</f>
        <v>3000</v>
      </c>
      <c r="R20" s="148"/>
      <c r="S20" s="148"/>
      <c r="T20" s="148">
        <f t="shared" si="0"/>
        <v>3000</v>
      </c>
      <c r="U20" s="148"/>
      <c r="V20" s="67"/>
      <c r="W20" s="69"/>
      <c r="X20" s="70"/>
      <c r="Y20" s="71"/>
    </row>
    <row r="21" spans="1:25" ht="20.100000000000001" customHeight="1" x14ac:dyDescent="0.25">
      <c r="A21" s="66" t="s">
        <v>662</v>
      </c>
      <c r="B21" s="66" t="s">
        <v>352</v>
      </c>
      <c r="C21" s="67">
        <v>2021</v>
      </c>
      <c r="D21" s="67">
        <v>2021</v>
      </c>
      <c r="E21" s="67" t="s">
        <v>363</v>
      </c>
      <c r="F21" s="67"/>
      <c r="G21" s="67"/>
      <c r="H21" s="67"/>
      <c r="I21" s="67"/>
      <c r="J21" s="68"/>
      <c r="K21" t="s">
        <v>655</v>
      </c>
      <c r="L21" s="68" t="s">
        <v>1045</v>
      </c>
      <c r="M21" s="68">
        <v>1</v>
      </c>
      <c r="N21" s="67"/>
      <c r="O21" s="68"/>
      <c r="P21" s="68"/>
      <c r="Q21" s="65">
        <f>'TRIBUTI SERVIZI '!N48</f>
        <v>282500</v>
      </c>
      <c r="R21" s="65"/>
      <c r="S21" s="65"/>
      <c r="T21" s="148">
        <f t="shared" si="0"/>
        <v>282500</v>
      </c>
      <c r="U21" s="65"/>
      <c r="V21" s="67"/>
      <c r="W21" s="69"/>
      <c r="X21" s="70"/>
      <c r="Y21" s="71"/>
    </row>
    <row r="22" spans="1:25" ht="20.100000000000001" customHeight="1" x14ac:dyDescent="0.2">
      <c r="A22" s="66" t="s">
        <v>659</v>
      </c>
      <c r="B22" s="66" t="s">
        <v>352</v>
      </c>
      <c r="C22" s="67">
        <v>2021</v>
      </c>
      <c r="D22" s="67">
        <v>2021</v>
      </c>
      <c r="E22" s="67" t="s">
        <v>363</v>
      </c>
      <c r="F22" s="67" t="s">
        <v>363</v>
      </c>
      <c r="G22" s="67" t="s">
        <v>363</v>
      </c>
      <c r="H22" s="67" t="s">
        <v>363</v>
      </c>
      <c r="I22" s="67" t="s">
        <v>355</v>
      </c>
      <c r="J22" s="68" t="s">
        <v>406</v>
      </c>
      <c r="K22" s="67" t="s">
        <v>416</v>
      </c>
      <c r="L22" s="68" t="s">
        <v>522</v>
      </c>
      <c r="M22" s="68">
        <v>1</v>
      </c>
      <c r="N22" s="67"/>
      <c r="O22" s="68"/>
      <c r="P22" s="68"/>
      <c r="Q22" s="65">
        <f>'TRIBUTI SERVIZI '!H50</f>
        <v>6000</v>
      </c>
      <c r="R22" s="65"/>
      <c r="S22" s="65"/>
      <c r="T22" s="148">
        <f t="shared" si="0"/>
        <v>6000</v>
      </c>
      <c r="U22" s="65">
        <v>0</v>
      </c>
      <c r="V22" s="67">
        <v>0</v>
      </c>
      <c r="W22" s="69" t="s">
        <v>359</v>
      </c>
      <c r="X22" s="70" t="s">
        <v>360</v>
      </c>
      <c r="Y22" s="71"/>
    </row>
    <row r="23" spans="1:25" ht="20.100000000000001" customHeight="1" x14ac:dyDescent="0.2">
      <c r="A23" s="66" t="s">
        <v>657</v>
      </c>
      <c r="B23" s="66" t="s">
        <v>352</v>
      </c>
      <c r="C23" s="67">
        <v>2021</v>
      </c>
      <c r="D23" s="67">
        <v>2021</v>
      </c>
      <c r="E23" s="67" t="s">
        <v>363</v>
      </c>
      <c r="F23" s="67" t="s">
        <v>363</v>
      </c>
      <c r="G23" s="67" t="s">
        <v>363</v>
      </c>
      <c r="H23" s="67" t="s">
        <v>363</v>
      </c>
      <c r="I23" s="67" t="s">
        <v>355</v>
      </c>
      <c r="J23" s="68" t="s">
        <v>406</v>
      </c>
      <c r="K23" s="67" t="s">
        <v>419</v>
      </c>
      <c r="L23" s="68" t="s">
        <v>520</v>
      </c>
      <c r="M23" s="68">
        <v>1</v>
      </c>
      <c r="N23" s="67"/>
      <c r="O23" s="68"/>
      <c r="P23" s="68"/>
      <c r="Q23" s="65">
        <f>'TRIBUTI SERVIZI '!N72</f>
        <v>321964.62</v>
      </c>
      <c r="R23" s="65"/>
      <c r="S23" s="65"/>
      <c r="T23" s="148">
        <f t="shared" si="0"/>
        <v>321964.62</v>
      </c>
      <c r="U23" s="65">
        <v>0</v>
      </c>
      <c r="V23" s="67">
        <v>0</v>
      </c>
      <c r="W23" s="69" t="s">
        <v>359</v>
      </c>
      <c r="X23" s="70" t="s">
        <v>360</v>
      </c>
      <c r="Y23" s="71"/>
    </row>
    <row r="24" spans="1:25" ht="20.100000000000001" customHeight="1" x14ac:dyDescent="0.25">
      <c r="A24" s="66"/>
      <c r="B24" s="66"/>
      <c r="C24" s="67"/>
      <c r="D24" s="67"/>
      <c r="E24" s="67"/>
      <c r="F24" s="67"/>
      <c r="G24" s="67"/>
      <c r="H24" s="67"/>
      <c r="I24" s="67"/>
      <c r="J24" s="68"/>
      <c r="K24"/>
      <c r="L24" s="68" t="s">
        <v>1046</v>
      </c>
      <c r="M24" s="68"/>
      <c r="N24" s="67"/>
      <c r="O24" s="68"/>
      <c r="P24" s="68"/>
      <c r="Q24" s="148">
        <f>'TRIBUTI SERVIZI '!N75</f>
        <v>6243.96</v>
      </c>
      <c r="R24" s="148"/>
      <c r="S24" s="148"/>
      <c r="T24" s="148">
        <f t="shared" si="0"/>
        <v>6243.96</v>
      </c>
      <c r="U24" s="148"/>
      <c r="V24" s="67"/>
      <c r="W24" s="69"/>
      <c r="X24" s="70"/>
      <c r="Y24" s="71"/>
    </row>
    <row r="25" spans="1:25" ht="20.100000000000001" customHeight="1" x14ac:dyDescent="0.25">
      <c r="A25" s="66"/>
      <c r="B25" s="66"/>
      <c r="C25" s="67"/>
      <c r="D25" s="67"/>
      <c r="E25" s="67"/>
      <c r="F25" s="67"/>
      <c r="G25" s="67"/>
      <c r="H25" s="67"/>
      <c r="I25" s="67"/>
      <c r="J25" s="68"/>
      <c r="K25"/>
      <c r="L25" s="68" t="s">
        <v>442</v>
      </c>
      <c r="M25" s="68"/>
      <c r="N25" s="67"/>
      <c r="O25" s="68"/>
      <c r="P25" s="68"/>
      <c r="Q25" s="148">
        <f>'TRIBUTI SERVIZI '!H76</f>
        <v>13386.84</v>
      </c>
      <c r="R25" s="148"/>
      <c r="S25" s="148"/>
      <c r="T25" s="148">
        <f t="shared" si="0"/>
        <v>13386.84</v>
      </c>
      <c r="U25" s="148"/>
      <c r="V25" s="67"/>
      <c r="W25" s="69"/>
      <c r="X25" s="70"/>
      <c r="Y25" s="71"/>
    </row>
    <row r="26" spans="1:25" ht="20.100000000000001" customHeight="1" x14ac:dyDescent="0.25">
      <c r="A26" s="66"/>
      <c r="B26" s="66"/>
      <c r="C26" s="67"/>
      <c r="D26" s="67"/>
      <c r="E26" s="67"/>
      <c r="F26" s="67"/>
      <c r="G26" s="67"/>
      <c r="H26" s="67"/>
      <c r="I26" s="67"/>
      <c r="J26" s="68"/>
      <c r="K26"/>
      <c r="L26" s="68" t="s">
        <v>510</v>
      </c>
      <c r="M26" s="68"/>
      <c r="N26" s="67"/>
      <c r="O26" s="68"/>
      <c r="P26" s="68"/>
      <c r="Q26" s="148">
        <f>'TRIBUTI SERVIZI '!H78</f>
        <v>3204.24</v>
      </c>
      <c r="R26" s="148"/>
      <c r="S26" s="148"/>
      <c r="T26" s="148">
        <f t="shared" si="0"/>
        <v>3204.24</v>
      </c>
      <c r="U26" s="148"/>
      <c r="V26" s="67"/>
      <c r="W26" s="69"/>
      <c r="X26" s="70"/>
      <c r="Y26" s="71"/>
    </row>
    <row r="27" spans="1:25" ht="20.100000000000001" customHeight="1" x14ac:dyDescent="0.25">
      <c r="A27" s="66"/>
      <c r="B27" s="66"/>
      <c r="C27" s="67"/>
      <c r="D27" s="67"/>
      <c r="E27" s="67"/>
      <c r="F27" s="67"/>
      <c r="G27" s="67"/>
      <c r="H27" s="67"/>
      <c r="I27" s="67"/>
      <c r="J27" s="68"/>
      <c r="K27"/>
      <c r="L27" s="68" t="s">
        <v>511</v>
      </c>
      <c r="M27" s="68"/>
      <c r="N27" s="67"/>
      <c r="O27" s="68"/>
      <c r="P27" s="68"/>
      <c r="Q27" s="148">
        <f>'TRIBUTI SERVIZI '!H80</f>
        <v>450.4</v>
      </c>
      <c r="R27" s="148"/>
      <c r="S27" s="148"/>
      <c r="T27" s="148">
        <f t="shared" si="0"/>
        <v>450.4</v>
      </c>
      <c r="U27" s="148"/>
      <c r="V27" s="67"/>
      <c r="W27" s="69"/>
      <c r="X27" s="70"/>
      <c r="Y27" s="71"/>
    </row>
    <row r="28" spans="1:25" ht="23.25" customHeight="1" x14ac:dyDescent="0.25">
      <c r="A28" s="66"/>
      <c r="B28" s="66"/>
      <c r="C28" s="67"/>
      <c r="D28" s="67"/>
      <c r="E28" s="67"/>
      <c r="F28" s="67"/>
      <c r="G28" s="67"/>
      <c r="H28" s="67"/>
      <c r="I28" s="67"/>
      <c r="J28" s="68"/>
      <c r="K28"/>
      <c r="L28" s="68" t="s">
        <v>322</v>
      </c>
      <c r="M28" s="68"/>
      <c r="N28" s="67"/>
      <c r="O28" s="68"/>
      <c r="P28" s="68"/>
      <c r="Q28" s="148">
        <f>'TRIBUTI SERVIZI '!H81</f>
        <v>1493.15</v>
      </c>
      <c r="R28" s="148"/>
      <c r="S28" s="148"/>
      <c r="T28" s="148">
        <f t="shared" si="0"/>
        <v>1493.15</v>
      </c>
      <c r="U28" s="148"/>
      <c r="V28" s="67"/>
      <c r="W28" s="69"/>
      <c r="X28" s="70"/>
      <c r="Y28" s="71"/>
    </row>
    <row r="29" spans="1:25" ht="20.100000000000001" customHeight="1" x14ac:dyDescent="0.25">
      <c r="A29" s="66"/>
      <c r="B29" s="66"/>
      <c r="C29" s="67"/>
      <c r="D29" s="67"/>
      <c r="E29" s="67"/>
      <c r="F29" s="67"/>
      <c r="G29" s="67"/>
      <c r="H29" s="67"/>
      <c r="I29" s="67"/>
      <c r="J29" s="68"/>
      <c r="K29"/>
      <c r="L29" s="68" t="s">
        <v>507</v>
      </c>
      <c r="M29" s="68"/>
      <c r="N29" s="67"/>
      <c r="O29" s="68"/>
      <c r="P29" s="68"/>
      <c r="Q29" s="148">
        <f>'TRIBUTI SERVIZI '!H82</f>
        <v>7094.05</v>
      </c>
      <c r="R29" s="148"/>
      <c r="S29" s="148"/>
      <c r="T29" s="148">
        <f t="shared" si="0"/>
        <v>7094.05</v>
      </c>
      <c r="U29" s="148"/>
      <c r="V29" s="67"/>
      <c r="W29" s="69"/>
      <c r="X29" s="70"/>
      <c r="Y29" s="71"/>
    </row>
    <row r="30" spans="1:25" ht="20.100000000000001" customHeight="1" x14ac:dyDescent="0.25">
      <c r="A30" s="66"/>
      <c r="B30" s="66"/>
      <c r="C30" s="67"/>
      <c r="D30" s="67"/>
      <c r="E30" s="67"/>
      <c r="F30" s="67"/>
      <c r="G30" s="67"/>
      <c r="H30" s="67"/>
      <c r="I30" s="67"/>
      <c r="J30" s="68"/>
      <c r="K30"/>
      <c r="L30" s="68" t="s">
        <v>508</v>
      </c>
      <c r="M30" s="68"/>
      <c r="N30" s="67"/>
      <c r="O30" s="68"/>
      <c r="P30" s="68"/>
      <c r="Q30" s="148">
        <f>'TRIBUTI SERVIZI '!H83</f>
        <v>4341.0600000000004</v>
      </c>
      <c r="R30" s="148"/>
      <c r="S30" s="148"/>
      <c r="T30" s="148">
        <f t="shared" si="0"/>
        <v>4341.0600000000004</v>
      </c>
      <c r="U30" s="148"/>
      <c r="V30" s="67"/>
      <c r="W30" s="69"/>
      <c r="X30" s="70"/>
      <c r="Y30" s="71"/>
    </row>
    <row r="31" spans="1:25" ht="31.5" customHeight="1" x14ac:dyDescent="0.25">
      <c r="A31" s="66"/>
      <c r="B31" s="66"/>
      <c r="C31" s="67"/>
      <c r="D31" s="67"/>
      <c r="E31" s="67"/>
      <c r="F31" s="67"/>
      <c r="G31" s="67"/>
      <c r="H31" s="67"/>
      <c r="I31" s="67"/>
      <c r="J31" s="68"/>
      <c r="K31"/>
      <c r="L31" s="68" t="s">
        <v>509</v>
      </c>
      <c r="M31" s="68"/>
      <c r="N31" s="67"/>
      <c r="O31" s="68"/>
      <c r="P31" s="68"/>
      <c r="Q31" s="148">
        <f>'TRIBUTI SERVIZI '!H84</f>
        <v>5200</v>
      </c>
      <c r="R31" s="148"/>
      <c r="S31" s="148"/>
      <c r="T31" s="148">
        <f t="shared" si="0"/>
        <v>5200</v>
      </c>
      <c r="U31" s="148"/>
      <c r="V31" s="67"/>
      <c r="W31" s="69"/>
      <c r="X31" s="70"/>
      <c r="Y31" s="71"/>
    </row>
    <row r="32" spans="1:25" ht="31.5" customHeight="1" x14ac:dyDescent="0.25">
      <c r="A32" s="66"/>
      <c r="B32" s="66"/>
      <c r="C32" s="67"/>
      <c r="D32" s="67"/>
      <c r="E32" s="67"/>
      <c r="F32" s="67"/>
      <c r="G32" s="67"/>
      <c r="H32" s="67"/>
      <c r="I32" s="67"/>
      <c r="J32" s="68"/>
      <c r="K32"/>
      <c r="L32" s="68" t="s">
        <v>1047</v>
      </c>
      <c r="M32" s="68"/>
      <c r="N32" s="67"/>
      <c r="O32" s="68"/>
      <c r="P32" s="68"/>
      <c r="Q32" s="148">
        <f>'TRIBUTI SERVIZI '!H85</f>
        <v>3380</v>
      </c>
      <c r="R32" s="148"/>
      <c r="S32" s="148"/>
      <c r="T32" s="148">
        <f t="shared" si="0"/>
        <v>3380</v>
      </c>
      <c r="U32" s="148"/>
      <c r="V32" s="67"/>
      <c r="W32" s="69"/>
      <c r="X32" s="70"/>
      <c r="Y32" s="71"/>
    </row>
    <row r="33" spans="1:25" ht="31.5" customHeight="1" x14ac:dyDescent="0.25">
      <c r="A33" s="66"/>
      <c r="B33" s="66"/>
      <c r="C33" s="67"/>
      <c r="D33" s="67"/>
      <c r="E33" s="67"/>
      <c r="F33" s="67"/>
      <c r="G33" s="67"/>
      <c r="H33" s="67"/>
      <c r="I33" s="67"/>
      <c r="J33" s="68"/>
      <c r="K33"/>
      <c r="L33" s="68" t="s">
        <v>1048</v>
      </c>
      <c r="M33" s="68"/>
      <c r="N33" s="67"/>
      <c r="O33" s="68"/>
      <c r="P33" s="68"/>
      <c r="Q33" s="148">
        <f>'TRIBUTI SERVIZI '!N92</f>
        <v>12476.79</v>
      </c>
      <c r="R33" s="148"/>
      <c r="S33" s="148"/>
      <c r="T33" s="148">
        <f t="shared" si="0"/>
        <v>12476.79</v>
      </c>
      <c r="U33" s="148"/>
      <c r="V33" s="67"/>
      <c r="W33" s="69"/>
      <c r="X33" s="70"/>
      <c r="Y33" s="71"/>
    </row>
    <row r="34" spans="1:25" ht="31.5" customHeight="1" x14ac:dyDescent="0.25">
      <c r="A34" s="66"/>
      <c r="B34" s="66"/>
      <c r="C34" s="67"/>
      <c r="D34" s="67"/>
      <c r="E34" s="67"/>
      <c r="F34" s="67"/>
      <c r="G34" s="67"/>
      <c r="H34" s="67"/>
      <c r="I34" s="67"/>
      <c r="J34" s="68"/>
      <c r="K34"/>
      <c r="L34" s="68" t="s">
        <v>324</v>
      </c>
      <c r="M34" s="68"/>
      <c r="N34" s="67"/>
      <c r="O34" s="68"/>
      <c r="P34" s="68"/>
      <c r="Q34" s="148">
        <f>'TRIBUTI SERVIZI '!H94</f>
        <v>768</v>
      </c>
      <c r="R34" s="148"/>
      <c r="S34" s="148"/>
      <c r="T34" s="148">
        <f t="shared" si="0"/>
        <v>768</v>
      </c>
      <c r="U34" s="148"/>
      <c r="V34" s="67"/>
      <c r="W34" s="69"/>
      <c r="X34" s="70"/>
      <c r="Y34" s="71"/>
    </row>
    <row r="35" spans="1:25" ht="36.75" customHeight="1" x14ac:dyDescent="0.25">
      <c r="A35" s="66" t="s">
        <v>667</v>
      </c>
      <c r="B35" s="66" t="s">
        <v>352</v>
      </c>
      <c r="C35" s="67">
        <v>2021</v>
      </c>
      <c r="D35" s="67">
        <v>2021</v>
      </c>
      <c r="E35" s="67" t="s">
        <v>363</v>
      </c>
      <c r="F35" s="67"/>
      <c r="G35" s="67"/>
      <c r="H35" s="67"/>
      <c r="I35" s="67"/>
      <c r="J35" s="68"/>
      <c r="K35" t="s">
        <v>648</v>
      </c>
      <c r="L35" s="68" t="s">
        <v>1049</v>
      </c>
      <c r="M35" s="68">
        <v>1</v>
      </c>
      <c r="N35" s="67"/>
      <c r="O35" s="68"/>
      <c r="P35" s="68"/>
      <c r="Q35" s="65">
        <f>'TRIBUTI SERVIZI '!N98</f>
        <v>53440</v>
      </c>
      <c r="R35" s="65"/>
      <c r="S35" s="65"/>
      <c r="T35" s="148">
        <f t="shared" si="0"/>
        <v>53440</v>
      </c>
      <c r="U35" s="65"/>
      <c r="V35" s="67"/>
      <c r="W35" s="69"/>
      <c r="X35" s="70"/>
      <c r="Y35" s="71"/>
    </row>
    <row r="36" spans="1:25" ht="27.75" customHeight="1" x14ac:dyDescent="0.2">
      <c r="A36" s="66" t="s">
        <v>664</v>
      </c>
      <c r="B36" s="66" t="s">
        <v>352</v>
      </c>
      <c r="C36" s="67">
        <v>2021</v>
      </c>
      <c r="D36" s="67">
        <v>2021</v>
      </c>
      <c r="E36" s="67" t="s">
        <v>363</v>
      </c>
      <c r="F36" s="67" t="s">
        <v>363</v>
      </c>
      <c r="G36" s="67" t="s">
        <v>363</v>
      </c>
      <c r="H36" s="67" t="s">
        <v>363</v>
      </c>
      <c r="I36" s="67" t="s">
        <v>355</v>
      </c>
      <c r="J36" s="68" t="s">
        <v>406</v>
      </c>
      <c r="K36" s="67" t="s">
        <v>447</v>
      </c>
      <c r="L36" s="68" t="s">
        <v>525</v>
      </c>
      <c r="M36" s="68">
        <v>2</v>
      </c>
      <c r="N36" s="67"/>
      <c r="O36" s="68"/>
      <c r="P36" s="68"/>
      <c r="Q36" s="65">
        <f>'TRIBUTI SERVIZI '!H100</f>
        <v>13701.4</v>
      </c>
      <c r="R36" s="65"/>
      <c r="S36" s="65"/>
      <c r="T36" s="148">
        <f t="shared" si="0"/>
        <v>13701.4</v>
      </c>
      <c r="U36" s="65">
        <v>0</v>
      </c>
      <c r="V36" s="67">
        <v>0</v>
      </c>
      <c r="W36" s="69" t="s">
        <v>359</v>
      </c>
      <c r="X36" s="70" t="s">
        <v>360</v>
      </c>
      <c r="Y36" s="71"/>
    </row>
    <row r="37" spans="1:25" ht="30.75" customHeight="1" x14ac:dyDescent="0.2">
      <c r="A37" s="66" t="s">
        <v>663</v>
      </c>
      <c r="B37" s="66" t="s">
        <v>352</v>
      </c>
      <c r="C37" s="67">
        <v>2021</v>
      </c>
      <c r="D37" s="67">
        <v>2021</v>
      </c>
      <c r="E37" s="67" t="s">
        <v>363</v>
      </c>
      <c r="F37" s="67" t="s">
        <v>363</v>
      </c>
      <c r="G37" s="67" t="s">
        <v>363</v>
      </c>
      <c r="H37" s="67" t="s">
        <v>363</v>
      </c>
      <c r="I37" s="67" t="s">
        <v>355</v>
      </c>
      <c r="J37" s="68" t="s">
        <v>406</v>
      </c>
      <c r="K37" s="67" t="s">
        <v>447</v>
      </c>
      <c r="L37" s="68" t="s">
        <v>524</v>
      </c>
      <c r="M37" s="68">
        <v>2</v>
      </c>
      <c r="N37" s="67"/>
      <c r="O37" s="68"/>
      <c r="P37" s="68"/>
      <c r="Q37" s="65">
        <f>'TRIBUTI SERVIZI '!H102</f>
        <v>7472</v>
      </c>
      <c r="R37" s="65"/>
      <c r="S37" s="65"/>
      <c r="T37" s="148">
        <f t="shared" si="0"/>
        <v>7472</v>
      </c>
      <c r="U37" s="65">
        <v>0</v>
      </c>
      <c r="V37" s="67">
        <v>0</v>
      </c>
      <c r="W37" s="69" t="s">
        <v>359</v>
      </c>
      <c r="X37" s="70" t="s">
        <v>360</v>
      </c>
      <c r="Y37" s="71"/>
    </row>
    <row r="38" spans="1:25" ht="30" customHeight="1" x14ac:dyDescent="0.2">
      <c r="A38" s="66" t="s">
        <v>665</v>
      </c>
      <c r="B38" s="66" t="s">
        <v>352</v>
      </c>
      <c r="C38" s="67">
        <v>2021</v>
      </c>
      <c r="D38" s="67">
        <v>2021</v>
      </c>
      <c r="E38" s="67" t="s">
        <v>363</v>
      </c>
      <c r="F38" s="67" t="s">
        <v>363</v>
      </c>
      <c r="G38" s="67" t="s">
        <v>363</v>
      </c>
      <c r="H38" s="67" t="s">
        <v>363</v>
      </c>
      <c r="I38" s="67" t="s">
        <v>355</v>
      </c>
      <c r="J38" s="68" t="s">
        <v>406</v>
      </c>
      <c r="K38" s="67" t="s">
        <v>447</v>
      </c>
      <c r="L38" s="68" t="s">
        <v>526</v>
      </c>
      <c r="M38" s="68">
        <v>2</v>
      </c>
      <c r="N38" s="67"/>
      <c r="O38" s="68"/>
      <c r="P38" s="68"/>
      <c r="Q38" s="65">
        <f>'TRIBUTI SERVIZI '!H104</f>
        <v>4428</v>
      </c>
      <c r="R38" s="65"/>
      <c r="S38" s="65"/>
      <c r="T38" s="148">
        <f t="shared" si="0"/>
        <v>4428</v>
      </c>
      <c r="U38" s="65">
        <v>0</v>
      </c>
      <c r="V38" s="67">
        <v>0</v>
      </c>
      <c r="W38" s="69" t="s">
        <v>359</v>
      </c>
      <c r="X38" s="70" t="s">
        <v>360</v>
      </c>
      <c r="Y38" s="71"/>
    </row>
    <row r="39" spans="1:25" ht="30" customHeight="1" x14ac:dyDescent="0.2">
      <c r="A39" s="66"/>
      <c r="B39" s="66"/>
      <c r="C39" s="67"/>
      <c r="D39" s="67"/>
      <c r="E39" s="67"/>
      <c r="F39" s="67"/>
      <c r="G39" s="67"/>
      <c r="H39" s="67"/>
      <c r="I39" s="67"/>
      <c r="J39" s="68"/>
      <c r="K39" s="67"/>
      <c r="L39" s="68" t="s">
        <v>1050</v>
      </c>
      <c r="M39" s="68"/>
      <c r="N39" s="67"/>
      <c r="O39" s="68"/>
      <c r="P39" s="68"/>
      <c r="Q39" s="148">
        <f>'TRIBUTI SERVIZI '!N108</f>
        <v>3231.3199999999997</v>
      </c>
      <c r="R39" s="148"/>
      <c r="S39" s="148"/>
      <c r="T39" s="148">
        <f t="shared" si="0"/>
        <v>3231.3199999999997</v>
      </c>
      <c r="U39" s="148"/>
      <c r="V39" s="67"/>
      <c r="W39" s="69"/>
      <c r="X39" s="70"/>
      <c r="Y39" s="71"/>
    </row>
    <row r="40" spans="1:25" ht="20.100000000000001" customHeight="1" x14ac:dyDescent="0.2">
      <c r="A40" s="66" t="s">
        <v>666</v>
      </c>
      <c r="B40" s="66" t="s">
        <v>352</v>
      </c>
      <c r="C40" s="67">
        <v>2021</v>
      </c>
      <c r="D40" s="67">
        <v>2021</v>
      </c>
      <c r="E40" s="67" t="s">
        <v>363</v>
      </c>
      <c r="F40" s="67" t="s">
        <v>363</v>
      </c>
      <c r="G40" s="67" t="s">
        <v>363</v>
      </c>
      <c r="H40" s="67" t="s">
        <v>363</v>
      </c>
      <c r="I40" s="67" t="s">
        <v>355</v>
      </c>
      <c r="J40" s="68" t="s">
        <v>356</v>
      </c>
      <c r="K40" s="67" t="s">
        <v>450</v>
      </c>
      <c r="L40" s="68" t="s">
        <v>527</v>
      </c>
      <c r="M40" s="68">
        <v>2</v>
      </c>
      <c r="N40" s="67"/>
      <c r="O40" s="68"/>
      <c r="P40" s="68"/>
      <c r="Q40" s="65">
        <f>'TRIBUTI SERVIZI '!H110</f>
        <v>3182</v>
      </c>
      <c r="R40" s="65"/>
      <c r="S40" s="65"/>
      <c r="T40" s="148">
        <f t="shared" si="0"/>
        <v>3182</v>
      </c>
      <c r="U40" s="65">
        <v>0</v>
      </c>
      <c r="V40" s="67">
        <v>0</v>
      </c>
      <c r="W40" s="69" t="s">
        <v>359</v>
      </c>
      <c r="X40" s="70" t="s">
        <v>360</v>
      </c>
      <c r="Y40" s="71"/>
    </row>
    <row r="41" spans="1:25" ht="20.100000000000001" customHeight="1" x14ac:dyDescent="0.2">
      <c r="A41" s="66" t="s">
        <v>590</v>
      </c>
      <c r="B41" s="66" t="s">
        <v>352</v>
      </c>
      <c r="C41" s="67">
        <v>2021</v>
      </c>
      <c r="D41" s="67">
        <v>2021</v>
      </c>
      <c r="E41" s="67" t="s">
        <v>363</v>
      </c>
      <c r="F41" s="67" t="s">
        <v>353</v>
      </c>
      <c r="G41" s="67" t="s">
        <v>363</v>
      </c>
      <c r="H41" s="67" t="s">
        <v>363</v>
      </c>
      <c r="I41" s="67" t="s">
        <v>355</v>
      </c>
      <c r="J41" s="68" t="s">
        <v>364</v>
      </c>
      <c r="K41" s="67" t="s">
        <v>365</v>
      </c>
      <c r="L41" s="68" t="s">
        <v>515</v>
      </c>
      <c r="M41" s="68">
        <v>1</v>
      </c>
      <c r="N41" s="67"/>
      <c r="O41" s="68"/>
      <c r="P41" s="68"/>
      <c r="Q41" s="148"/>
      <c r="R41" s="148">
        <f>'TRIBUTI SERVIZI '!P3</f>
        <v>564.04999999999995</v>
      </c>
      <c r="S41" s="148"/>
      <c r="T41" s="148">
        <f t="shared" si="0"/>
        <v>564.04999999999995</v>
      </c>
      <c r="U41" s="148">
        <v>0</v>
      </c>
      <c r="V41" s="67">
        <v>0</v>
      </c>
      <c r="W41" s="69" t="s">
        <v>359</v>
      </c>
      <c r="X41" s="70" t="s">
        <v>360</v>
      </c>
      <c r="Y41" s="71"/>
    </row>
    <row r="42" spans="1:25" ht="20.100000000000001" customHeight="1" x14ac:dyDescent="0.2">
      <c r="A42" s="66" t="s">
        <v>591</v>
      </c>
      <c r="B42" s="66" t="s">
        <v>352</v>
      </c>
      <c r="C42" s="67">
        <v>2021</v>
      </c>
      <c r="D42" s="67">
        <v>2021</v>
      </c>
      <c r="E42" s="67" t="s">
        <v>363</v>
      </c>
      <c r="F42" s="67"/>
      <c r="G42" s="67"/>
      <c r="H42" s="67"/>
      <c r="I42" s="67"/>
      <c r="J42" s="68" t="s">
        <v>361</v>
      </c>
      <c r="K42" s="67" t="s">
        <v>365</v>
      </c>
      <c r="L42" s="68" t="s">
        <v>516</v>
      </c>
      <c r="M42" s="68">
        <v>1</v>
      </c>
      <c r="N42" s="67"/>
      <c r="O42" s="68"/>
      <c r="P42" s="68"/>
      <c r="Q42" s="148"/>
      <c r="R42" s="148">
        <f>'TRIBUTI SERVIZI '!P4</f>
        <v>104.79</v>
      </c>
      <c r="S42" s="148"/>
      <c r="T42" s="148">
        <f t="shared" si="0"/>
        <v>104.79</v>
      </c>
      <c r="U42" s="148">
        <v>0</v>
      </c>
      <c r="V42" s="67">
        <v>0</v>
      </c>
      <c r="W42" s="69" t="s">
        <v>359</v>
      </c>
      <c r="X42" s="70" t="s">
        <v>360</v>
      </c>
      <c r="Y42" s="71"/>
    </row>
    <row r="43" spans="1:25" ht="20.100000000000001" customHeight="1" x14ac:dyDescent="0.2">
      <c r="A43" s="66" t="s">
        <v>649</v>
      </c>
      <c r="B43" s="66" t="s">
        <v>352</v>
      </c>
      <c r="C43" s="67">
        <v>2021</v>
      </c>
      <c r="D43" s="67">
        <v>2021</v>
      </c>
      <c r="E43" s="67" t="s">
        <v>363</v>
      </c>
      <c r="F43" s="67" t="s">
        <v>353</v>
      </c>
      <c r="G43" s="67" t="s">
        <v>363</v>
      </c>
      <c r="H43" s="67" t="s">
        <v>363</v>
      </c>
      <c r="I43" s="67" t="s">
        <v>355</v>
      </c>
      <c r="J43" s="68" t="s">
        <v>364</v>
      </c>
      <c r="K43" s="67" t="s">
        <v>373</v>
      </c>
      <c r="L43" s="68" t="s">
        <v>517</v>
      </c>
      <c r="M43" s="68">
        <v>1</v>
      </c>
      <c r="N43" s="67"/>
      <c r="O43" s="68"/>
      <c r="P43" s="68"/>
      <c r="Q43" s="148"/>
      <c r="R43" s="148">
        <f>'TRIBUTI SERVIZI '!P5</f>
        <v>20.100000000000001</v>
      </c>
      <c r="S43" s="148"/>
      <c r="T43" s="148">
        <f t="shared" si="0"/>
        <v>20.100000000000001</v>
      </c>
      <c r="U43" s="148">
        <v>0</v>
      </c>
      <c r="V43" s="67">
        <v>0</v>
      </c>
      <c r="W43" s="69" t="s">
        <v>359</v>
      </c>
      <c r="X43" s="70" t="s">
        <v>360</v>
      </c>
      <c r="Y43" s="71"/>
    </row>
    <row r="44" spans="1:25" ht="20.100000000000001" customHeight="1" x14ac:dyDescent="0.2">
      <c r="A44" s="66" t="s">
        <v>650</v>
      </c>
      <c r="B44" s="66" t="s">
        <v>352</v>
      </c>
      <c r="C44" s="67">
        <v>2021</v>
      </c>
      <c r="D44" s="67">
        <v>2021</v>
      </c>
      <c r="E44" s="67" t="s">
        <v>363</v>
      </c>
      <c r="F44" s="67" t="s">
        <v>363</v>
      </c>
      <c r="G44" s="67" t="s">
        <v>363</v>
      </c>
      <c r="H44" s="67" t="s">
        <v>363</v>
      </c>
      <c r="I44" s="67" t="s">
        <v>355</v>
      </c>
      <c r="J44" s="68" t="s">
        <v>399</v>
      </c>
      <c r="K44" s="67" t="s">
        <v>400</v>
      </c>
      <c r="L44" s="68" t="s">
        <v>518</v>
      </c>
      <c r="M44" s="68">
        <v>1</v>
      </c>
      <c r="N44" s="67"/>
      <c r="O44" s="68"/>
      <c r="P44" s="68"/>
      <c r="Q44" s="148"/>
      <c r="R44" s="148">
        <f>'TRIBUTI SERVIZI '!P6</f>
        <v>13000</v>
      </c>
      <c r="S44" s="148"/>
      <c r="T44" s="148">
        <f t="shared" si="0"/>
        <v>13000</v>
      </c>
      <c r="U44" s="148">
        <v>0</v>
      </c>
      <c r="V44" s="67">
        <v>0</v>
      </c>
      <c r="W44" s="74" t="s">
        <v>370</v>
      </c>
      <c r="X44" s="70" t="s">
        <v>371</v>
      </c>
      <c r="Y44" s="71"/>
    </row>
    <row r="45" spans="1:25" ht="20.100000000000001" customHeight="1" x14ac:dyDescent="0.2">
      <c r="A45" s="66" t="s">
        <v>651</v>
      </c>
      <c r="B45" s="66" t="s">
        <v>352</v>
      </c>
      <c r="C45" s="67">
        <v>2021</v>
      </c>
      <c r="D45" s="67">
        <v>2021</v>
      </c>
      <c r="E45" s="67" t="s">
        <v>363</v>
      </c>
      <c r="F45" s="67" t="s">
        <v>363</v>
      </c>
      <c r="G45" s="67" t="s">
        <v>363</v>
      </c>
      <c r="H45" s="67" t="s">
        <v>363</v>
      </c>
      <c r="I45" s="67" t="s">
        <v>355</v>
      </c>
      <c r="J45" s="68" t="s">
        <v>406</v>
      </c>
      <c r="K45" s="67" t="s">
        <v>422</v>
      </c>
      <c r="L45" s="68" t="s">
        <v>1041</v>
      </c>
      <c r="M45" s="68">
        <v>1</v>
      </c>
      <c r="N45" s="67"/>
      <c r="O45" s="68"/>
      <c r="P45" s="68"/>
      <c r="Q45" s="148"/>
      <c r="R45" s="148">
        <f>'TRIBUTI SERVIZI '!Q14</f>
        <v>19808.41</v>
      </c>
      <c r="S45" s="148"/>
      <c r="T45" s="148">
        <f t="shared" si="0"/>
        <v>19808.41</v>
      </c>
      <c r="U45" s="148">
        <v>0</v>
      </c>
      <c r="V45" s="67">
        <v>0</v>
      </c>
      <c r="W45" s="69" t="s">
        <v>359</v>
      </c>
      <c r="X45" s="70" t="s">
        <v>360</v>
      </c>
      <c r="Y45" s="71"/>
    </row>
    <row r="46" spans="1:25" ht="20.100000000000001" customHeight="1" x14ac:dyDescent="0.25">
      <c r="A46" s="66" t="s">
        <v>652</v>
      </c>
      <c r="B46" s="66" t="s">
        <v>352</v>
      </c>
      <c r="C46" s="67">
        <v>2021</v>
      </c>
      <c r="D46" s="67">
        <v>2021</v>
      </c>
      <c r="E46" s="67" t="s">
        <v>363</v>
      </c>
      <c r="F46" s="67"/>
      <c r="G46" s="67"/>
      <c r="H46" s="67"/>
      <c r="I46" s="67"/>
      <c r="J46" s="68"/>
      <c r="K46" t="s">
        <v>456</v>
      </c>
      <c r="L46" s="68" t="s">
        <v>1042</v>
      </c>
      <c r="M46" s="68">
        <v>1</v>
      </c>
      <c r="N46" s="67"/>
      <c r="O46" s="68"/>
      <c r="P46" s="68"/>
      <c r="Q46" s="148"/>
      <c r="R46" s="148">
        <f>'TRIBUTI SERVIZI '!Q28</f>
        <v>30914.969999999998</v>
      </c>
      <c r="S46" s="148"/>
      <c r="T46" s="148">
        <f t="shared" si="0"/>
        <v>30914.969999999998</v>
      </c>
      <c r="U46" s="148"/>
      <c r="V46" s="67"/>
      <c r="W46" s="69"/>
      <c r="X46" s="70"/>
      <c r="Y46" s="71"/>
    </row>
    <row r="47" spans="1:25" ht="20.100000000000001" customHeight="1" x14ac:dyDescent="0.25">
      <c r="A47" s="66" t="s">
        <v>653</v>
      </c>
      <c r="B47" s="66" t="s">
        <v>352</v>
      </c>
      <c r="C47" s="67">
        <v>2021</v>
      </c>
      <c r="D47" s="67">
        <v>2021</v>
      </c>
      <c r="E47" s="67" t="s">
        <v>363</v>
      </c>
      <c r="F47" s="67"/>
      <c r="G47" s="67"/>
      <c r="H47" s="67"/>
      <c r="I47" s="67"/>
      <c r="J47" s="68"/>
      <c r="K47" t="s">
        <v>654</v>
      </c>
      <c r="L47" s="68" t="s">
        <v>1043</v>
      </c>
      <c r="M47" s="68">
        <v>1</v>
      </c>
      <c r="N47" s="67"/>
      <c r="O47" s="68"/>
      <c r="P47" s="68"/>
      <c r="Q47" s="148"/>
      <c r="R47" s="148">
        <f>'TRIBUTI SERVIZI '!P30</f>
        <v>39000</v>
      </c>
      <c r="S47" s="148"/>
      <c r="T47" s="148">
        <f t="shared" si="0"/>
        <v>39000</v>
      </c>
      <c r="U47" s="148"/>
      <c r="V47" s="67"/>
      <c r="W47" s="69"/>
      <c r="X47" s="70"/>
      <c r="Y47" s="71"/>
    </row>
    <row r="48" spans="1:25" ht="20.100000000000001" customHeight="1" x14ac:dyDescent="0.2">
      <c r="A48" s="66" t="s">
        <v>656</v>
      </c>
      <c r="B48" s="66" t="s">
        <v>352</v>
      </c>
      <c r="C48" s="67">
        <v>2021</v>
      </c>
      <c r="D48" s="67">
        <v>2021</v>
      </c>
      <c r="E48" s="67" t="s">
        <v>363</v>
      </c>
      <c r="F48" s="67" t="s">
        <v>363</v>
      </c>
      <c r="G48" s="67" t="s">
        <v>363</v>
      </c>
      <c r="H48" s="67" t="s">
        <v>363</v>
      </c>
      <c r="I48" s="67" t="s">
        <v>355</v>
      </c>
      <c r="J48" s="68" t="s">
        <v>406</v>
      </c>
      <c r="K48" s="67" t="s">
        <v>428</v>
      </c>
      <c r="L48" s="68" t="s">
        <v>519</v>
      </c>
      <c r="M48" s="68">
        <v>1</v>
      </c>
      <c r="N48" s="67"/>
      <c r="O48" s="68"/>
      <c r="P48" s="68"/>
      <c r="Q48" s="148"/>
      <c r="R48" s="148">
        <f>'TRIBUTI SERVIZI '!P32</f>
        <v>960</v>
      </c>
      <c r="S48" s="148"/>
      <c r="T48" s="148">
        <f t="shared" si="0"/>
        <v>960</v>
      </c>
      <c r="U48" s="148">
        <v>0</v>
      </c>
      <c r="V48" s="67">
        <v>0</v>
      </c>
      <c r="W48" s="69" t="s">
        <v>359</v>
      </c>
      <c r="X48" s="70" t="s">
        <v>360</v>
      </c>
      <c r="Y48" s="71"/>
    </row>
    <row r="49" spans="1:25" ht="20.100000000000001" customHeight="1" x14ac:dyDescent="0.25">
      <c r="A49" s="66" t="s">
        <v>658</v>
      </c>
      <c r="B49" s="66" t="s">
        <v>352</v>
      </c>
      <c r="C49" s="67">
        <v>2021</v>
      </c>
      <c r="D49" s="67">
        <v>2021</v>
      </c>
      <c r="E49" s="67" t="s">
        <v>363</v>
      </c>
      <c r="F49" s="67"/>
      <c r="G49" s="67"/>
      <c r="H49" s="67"/>
      <c r="I49" s="67"/>
      <c r="J49" s="68"/>
      <c r="K49" t="s">
        <v>660</v>
      </c>
      <c r="L49" s="68" t="s">
        <v>521</v>
      </c>
      <c r="M49" s="68">
        <v>1</v>
      </c>
      <c r="N49" s="67"/>
      <c r="O49" s="68"/>
      <c r="P49" s="68"/>
      <c r="Q49" s="148"/>
      <c r="R49" s="148">
        <f>'TRIBUTI SERVIZI '!P34</f>
        <v>0</v>
      </c>
      <c r="S49" s="148"/>
      <c r="T49" s="148">
        <f t="shared" si="0"/>
        <v>0</v>
      </c>
      <c r="U49" s="148"/>
      <c r="V49" s="67"/>
      <c r="W49" s="69"/>
      <c r="X49" s="70"/>
      <c r="Y49" s="71"/>
    </row>
    <row r="50" spans="1:25" ht="20.100000000000001" customHeight="1" x14ac:dyDescent="0.25">
      <c r="A50" s="66" t="s">
        <v>661</v>
      </c>
      <c r="B50" s="66" t="s">
        <v>352</v>
      </c>
      <c r="C50" s="67">
        <v>2021</v>
      </c>
      <c r="D50" s="67">
        <v>2021</v>
      </c>
      <c r="E50" s="67" t="s">
        <v>363</v>
      </c>
      <c r="F50" s="67"/>
      <c r="G50" s="67"/>
      <c r="H50" s="67"/>
      <c r="I50" s="67"/>
      <c r="J50" s="68"/>
      <c r="K50" t="s">
        <v>668</v>
      </c>
      <c r="L50" s="68" t="s">
        <v>523</v>
      </c>
      <c r="M50" s="68">
        <v>1</v>
      </c>
      <c r="N50" s="67"/>
      <c r="O50" s="68"/>
      <c r="P50" s="68"/>
      <c r="Q50" s="148"/>
      <c r="R50" s="148">
        <f>'TRIBUTI SERVIZI '!Q37</f>
        <v>12046.15</v>
      </c>
      <c r="S50" s="148"/>
      <c r="T50" s="148">
        <f t="shared" si="0"/>
        <v>12046.15</v>
      </c>
      <c r="U50" s="148"/>
      <c r="V50" s="67"/>
      <c r="W50" s="69"/>
      <c r="X50" s="70"/>
      <c r="Y50" s="71"/>
    </row>
    <row r="51" spans="1:25" ht="20.100000000000001" customHeight="1" x14ac:dyDescent="0.25">
      <c r="A51" s="66"/>
      <c r="B51" s="66"/>
      <c r="C51" s="67"/>
      <c r="D51" s="67"/>
      <c r="E51" s="67"/>
      <c r="F51" s="67"/>
      <c r="G51" s="67"/>
      <c r="H51" s="67"/>
      <c r="I51" s="67"/>
      <c r="J51" s="68"/>
      <c r="K51"/>
      <c r="L51" s="68" t="s">
        <v>1044</v>
      </c>
      <c r="M51" s="68"/>
      <c r="N51" s="67"/>
      <c r="O51" s="68"/>
      <c r="P51" s="68"/>
      <c r="Q51" s="148"/>
      <c r="R51" s="148">
        <f>'TRIBUTI SERVIZI '!P39</f>
        <v>3000</v>
      </c>
      <c r="S51" s="148"/>
      <c r="T51" s="148">
        <f t="shared" si="0"/>
        <v>3000</v>
      </c>
      <c r="U51" s="148"/>
      <c r="V51" s="67"/>
      <c r="W51" s="69"/>
      <c r="X51" s="70"/>
      <c r="Y51" s="71"/>
    </row>
    <row r="52" spans="1:25" ht="20.100000000000001" customHeight="1" x14ac:dyDescent="0.25">
      <c r="A52" s="66" t="s">
        <v>662</v>
      </c>
      <c r="B52" s="66" t="s">
        <v>352</v>
      </c>
      <c r="C52" s="67">
        <v>2021</v>
      </c>
      <c r="D52" s="67">
        <v>2021</v>
      </c>
      <c r="E52" s="67" t="s">
        <v>363</v>
      </c>
      <c r="F52" s="67"/>
      <c r="G52" s="67"/>
      <c r="H52" s="67"/>
      <c r="I52" s="67"/>
      <c r="J52" s="68"/>
      <c r="K52" t="s">
        <v>655</v>
      </c>
      <c r="L52" s="68" t="s">
        <v>1045</v>
      </c>
      <c r="M52" s="68">
        <v>1</v>
      </c>
      <c r="N52" s="67"/>
      <c r="O52" s="68"/>
      <c r="P52" s="68"/>
      <c r="Q52" s="148"/>
      <c r="R52" s="148">
        <f>'TRIBUTI SERVIZI '!Q48</f>
        <v>92500</v>
      </c>
      <c r="S52" s="148"/>
      <c r="T52" s="148">
        <f t="shared" si="0"/>
        <v>92500</v>
      </c>
      <c r="U52" s="148"/>
      <c r="V52" s="67"/>
      <c r="W52" s="69"/>
      <c r="X52" s="70"/>
      <c r="Y52" s="71"/>
    </row>
    <row r="53" spans="1:25" ht="20.100000000000001" customHeight="1" x14ac:dyDescent="0.2">
      <c r="A53" s="66" t="s">
        <v>659</v>
      </c>
      <c r="B53" s="66" t="s">
        <v>352</v>
      </c>
      <c r="C53" s="67">
        <v>2021</v>
      </c>
      <c r="D53" s="67">
        <v>2021</v>
      </c>
      <c r="E53" s="67" t="s">
        <v>363</v>
      </c>
      <c r="F53" s="67" t="s">
        <v>363</v>
      </c>
      <c r="G53" s="67" t="s">
        <v>363</v>
      </c>
      <c r="H53" s="67" t="s">
        <v>363</v>
      </c>
      <c r="I53" s="67" t="s">
        <v>355</v>
      </c>
      <c r="J53" s="68" t="s">
        <v>406</v>
      </c>
      <c r="K53" s="67" t="s">
        <v>416</v>
      </c>
      <c r="L53" s="68" t="s">
        <v>522</v>
      </c>
      <c r="M53" s="68">
        <v>1</v>
      </c>
      <c r="N53" s="67"/>
      <c r="O53" s="68"/>
      <c r="P53" s="68"/>
      <c r="Q53" s="148"/>
      <c r="R53" s="148">
        <f>'TRIBUTI SERVIZI '!P50</f>
        <v>6000</v>
      </c>
      <c r="S53" s="148"/>
      <c r="T53" s="148">
        <f t="shared" si="0"/>
        <v>6000</v>
      </c>
      <c r="U53" s="148">
        <v>0</v>
      </c>
      <c r="V53" s="67">
        <v>0</v>
      </c>
      <c r="W53" s="69" t="s">
        <v>359</v>
      </c>
      <c r="X53" s="70" t="s">
        <v>360</v>
      </c>
      <c r="Y53" s="71"/>
    </row>
    <row r="54" spans="1:25" ht="20.100000000000001" customHeight="1" x14ac:dyDescent="0.2">
      <c r="A54" s="66" t="s">
        <v>657</v>
      </c>
      <c r="B54" s="66" t="s">
        <v>352</v>
      </c>
      <c r="C54" s="67">
        <v>2021</v>
      </c>
      <c r="D54" s="67">
        <v>2021</v>
      </c>
      <c r="E54" s="67" t="s">
        <v>363</v>
      </c>
      <c r="F54" s="67" t="s">
        <v>363</v>
      </c>
      <c r="G54" s="67" t="s">
        <v>363</v>
      </c>
      <c r="H54" s="67" t="s">
        <v>363</v>
      </c>
      <c r="I54" s="67" t="s">
        <v>355</v>
      </c>
      <c r="J54" s="68" t="s">
        <v>406</v>
      </c>
      <c r="K54" s="67" t="s">
        <v>419</v>
      </c>
      <c r="L54" s="68" t="s">
        <v>520</v>
      </c>
      <c r="M54" s="68">
        <v>1</v>
      </c>
      <c r="N54" s="67"/>
      <c r="O54" s="68"/>
      <c r="P54" s="68"/>
      <c r="Q54" s="148"/>
      <c r="R54" s="148">
        <f>'TRIBUTI SERVIZI '!Q72</f>
        <v>203464.62</v>
      </c>
      <c r="S54" s="148"/>
      <c r="T54" s="148">
        <f t="shared" si="0"/>
        <v>203464.62</v>
      </c>
      <c r="U54" s="148">
        <v>0</v>
      </c>
      <c r="V54" s="67">
        <v>0</v>
      </c>
      <c r="W54" s="69" t="s">
        <v>359</v>
      </c>
      <c r="X54" s="70" t="s">
        <v>360</v>
      </c>
      <c r="Y54" s="71"/>
    </row>
    <row r="55" spans="1:25" ht="20.100000000000001" customHeight="1" x14ac:dyDescent="0.25">
      <c r="A55" s="66"/>
      <c r="B55" s="66"/>
      <c r="C55" s="67"/>
      <c r="D55" s="67"/>
      <c r="E55" s="67"/>
      <c r="F55" s="67"/>
      <c r="G55" s="67"/>
      <c r="H55" s="67"/>
      <c r="I55" s="67"/>
      <c r="J55" s="68"/>
      <c r="K55"/>
      <c r="L55" s="68" t="s">
        <v>1046</v>
      </c>
      <c r="M55" s="68"/>
      <c r="N55" s="67"/>
      <c r="O55" s="68"/>
      <c r="P55" s="68"/>
      <c r="Q55" s="148"/>
      <c r="R55" s="148">
        <f>'TRIBUTI SERVIZI '!Q75</f>
        <v>6243.96</v>
      </c>
      <c r="S55" s="148"/>
      <c r="T55" s="148">
        <f t="shared" si="0"/>
        <v>6243.96</v>
      </c>
      <c r="U55" s="148"/>
      <c r="V55" s="67"/>
      <c r="W55" s="69"/>
      <c r="X55" s="70"/>
      <c r="Y55" s="71"/>
    </row>
    <row r="56" spans="1:25" ht="20.100000000000001" customHeight="1" x14ac:dyDescent="0.25">
      <c r="A56" s="66"/>
      <c r="B56" s="66"/>
      <c r="C56" s="67"/>
      <c r="D56" s="67"/>
      <c r="E56" s="67"/>
      <c r="F56" s="67"/>
      <c r="G56" s="67"/>
      <c r="H56" s="67"/>
      <c r="I56" s="67"/>
      <c r="J56" s="68"/>
      <c r="K56"/>
      <c r="L56" s="68" t="s">
        <v>442</v>
      </c>
      <c r="M56" s="68"/>
      <c r="N56" s="67"/>
      <c r="O56" s="68"/>
      <c r="P56" s="68"/>
      <c r="Q56" s="148"/>
      <c r="R56" s="148">
        <f>'TRIBUTI SERVIZI '!P76</f>
        <v>13386.84</v>
      </c>
      <c r="S56" s="148"/>
      <c r="T56" s="148">
        <f t="shared" si="0"/>
        <v>13386.84</v>
      </c>
      <c r="U56" s="148"/>
      <c r="V56" s="67"/>
      <c r="W56" s="69"/>
      <c r="X56" s="70"/>
      <c r="Y56" s="71"/>
    </row>
    <row r="57" spans="1:25" ht="20.100000000000001" customHeight="1" x14ac:dyDescent="0.25">
      <c r="A57" s="66"/>
      <c r="B57" s="66"/>
      <c r="C57" s="67"/>
      <c r="D57" s="67"/>
      <c r="E57" s="67"/>
      <c r="F57" s="67"/>
      <c r="G57" s="67"/>
      <c r="H57" s="67"/>
      <c r="I57" s="67"/>
      <c r="J57" s="68"/>
      <c r="K57"/>
      <c r="L57" s="68" t="s">
        <v>510</v>
      </c>
      <c r="M57" s="68"/>
      <c r="N57" s="67"/>
      <c r="O57" s="68"/>
      <c r="P57" s="68"/>
      <c r="Q57" s="148"/>
      <c r="R57" s="148">
        <f>'TRIBUTI SERVIZI '!P78</f>
        <v>3204.24</v>
      </c>
      <c r="S57" s="148"/>
      <c r="T57" s="148">
        <f t="shared" si="0"/>
        <v>3204.24</v>
      </c>
      <c r="U57" s="148"/>
      <c r="V57" s="67"/>
      <c r="W57" s="69"/>
      <c r="X57" s="70"/>
      <c r="Y57" s="71"/>
    </row>
    <row r="58" spans="1:25" ht="20.100000000000001" customHeight="1" x14ac:dyDescent="0.25">
      <c r="A58" s="66"/>
      <c r="B58" s="66"/>
      <c r="C58" s="67"/>
      <c r="D58" s="67"/>
      <c r="E58" s="67"/>
      <c r="F58" s="67"/>
      <c r="G58" s="67"/>
      <c r="H58" s="67"/>
      <c r="I58" s="67"/>
      <c r="J58" s="68"/>
      <c r="K58"/>
      <c r="L58" s="68" t="s">
        <v>511</v>
      </c>
      <c r="M58" s="68"/>
      <c r="N58" s="67"/>
      <c r="O58" s="68"/>
      <c r="P58" s="68"/>
      <c r="Q58" s="148"/>
      <c r="R58" s="148">
        <f>'TRIBUTI SERVIZI '!P80</f>
        <v>450.4</v>
      </c>
      <c r="S58" s="148"/>
      <c r="T58" s="148">
        <f t="shared" si="0"/>
        <v>450.4</v>
      </c>
      <c r="U58" s="148"/>
      <c r="V58" s="67"/>
      <c r="W58" s="69"/>
      <c r="X58" s="70"/>
      <c r="Y58" s="71"/>
    </row>
    <row r="59" spans="1:25" ht="23.25" customHeight="1" x14ac:dyDescent="0.25">
      <c r="A59" s="66"/>
      <c r="B59" s="66"/>
      <c r="C59" s="67"/>
      <c r="D59" s="67"/>
      <c r="E59" s="67"/>
      <c r="F59" s="67"/>
      <c r="G59" s="67"/>
      <c r="H59" s="67"/>
      <c r="I59" s="67"/>
      <c r="J59" s="68"/>
      <c r="K59"/>
      <c r="L59" s="68" t="s">
        <v>322</v>
      </c>
      <c r="M59" s="68"/>
      <c r="N59" s="67"/>
      <c r="O59" s="68"/>
      <c r="P59" s="68"/>
      <c r="Q59" s="148"/>
      <c r="R59" s="148">
        <f>'TRIBUTI SERVIZI '!P81</f>
        <v>1493.15</v>
      </c>
      <c r="S59" s="148"/>
      <c r="T59" s="148">
        <f t="shared" si="0"/>
        <v>1493.15</v>
      </c>
      <c r="U59" s="148"/>
      <c r="V59" s="67"/>
      <c r="W59" s="69"/>
      <c r="X59" s="70"/>
      <c r="Y59" s="71"/>
    </row>
    <row r="60" spans="1:25" ht="20.100000000000001" customHeight="1" x14ac:dyDescent="0.25">
      <c r="A60" s="66"/>
      <c r="B60" s="66"/>
      <c r="C60" s="67"/>
      <c r="D60" s="67"/>
      <c r="E60" s="67"/>
      <c r="F60" s="67"/>
      <c r="G60" s="67"/>
      <c r="H60" s="67"/>
      <c r="I60" s="67"/>
      <c r="J60" s="68"/>
      <c r="K60"/>
      <c r="L60" s="68" t="s">
        <v>507</v>
      </c>
      <c r="M60" s="68"/>
      <c r="N60" s="67"/>
      <c r="O60" s="68"/>
      <c r="P60" s="68"/>
      <c r="Q60" s="148"/>
      <c r="R60" s="148">
        <f>'TRIBUTI SERVIZI '!P82</f>
        <v>7094.05</v>
      </c>
      <c r="S60" s="148"/>
      <c r="T60" s="148">
        <f t="shared" si="0"/>
        <v>7094.05</v>
      </c>
      <c r="U60" s="148"/>
      <c r="V60" s="67"/>
      <c r="W60" s="69"/>
      <c r="X60" s="70"/>
      <c r="Y60" s="71"/>
    </row>
    <row r="61" spans="1:25" ht="20.100000000000001" customHeight="1" x14ac:dyDescent="0.25">
      <c r="A61" s="66"/>
      <c r="B61" s="66"/>
      <c r="C61" s="67"/>
      <c r="D61" s="67"/>
      <c r="E61" s="67"/>
      <c r="F61" s="67"/>
      <c r="G61" s="67"/>
      <c r="H61" s="67"/>
      <c r="I61" s="67"/>
      <c r="J61" s="68"/>
      <c r="K61"/>
      <c r="L61" s="68" t="s">
        <v>508</v>
      </c>
      <c r="M61" s="68"/>
      <c r="N61" s="67"/>
      <c r="O61" s="68"/>
      <c r="P61" s="68"/>
      <c r="Q61" s="148"/>
      <c r="R61" s="148">
        <f>'TRIBUTI SERVIZI '!P83</f>
        <v>4341.0600000000004</v>
      </c>
      <c r="S61" s="148"/>
      <c r="T61" s="148">
        <f t="shared" si="0"/>
        <v>4341.0600000000004</v>
      </c>
      <c r="U61" s="148"/>
      <c r="V61" s="67"/>
      <c r="W61" s="69"/>
      <c r="X61" s="70"/>
      <c r="Y61" s="71"/>
    </row>
    <row r="62" spans="1:25" ht="31.5" customHeight="1" x14ac:dyDescent="0.25">
      <c r="A62" s="66"/>
      <c r="B62" s="66"/>
      <c r="C62" s="67"/>
      <c r="D62" s="67"/>
      <c r="E62" s="67"/>
      <c r="F62" s="67"/>
      <c r="G62" s="67"/>
      <c r="H62" s="67"/>
      <c r="I62" s="67"/>
      <c r="J62" s="68"/>
      <c r="K62"/>
      <c r="L62" s="68" t="s">
        <v>509</v>
      </c>
      <c r="M62" s="68"/>
      <c r="N62" s="67"/>
      <c r="O62" s="68"/>
      <c r="P62" s="68"/>
      <c r="Q62" s="148"/>
      <c r="R62" s="148">
        <f>'TRIBUTI SERVIZI '!P84</f>
        <v>5200</v>
      </c>
      <c r="S62" s="148"/>
      <c r="T62" s="148">
        <f t="shared" si="0"/>
        <v>5200</v>
      </c>
      <c r="U62" s="148"/>
      <c r="V62" s="67"/>
      <c r="W62" s="69"/>
      <c r="X62" s="70"/>
      <c r="Y62" s="71"/>
    </row>
    <row r="63" spans="1:25" ht="31.5" customHeight="1" x14ac:dyDescent="0.25">
      <c r="A63" s="66"/>
      <c r="B63" s="66"/>
      <c r="C63" s="67"/>
      <c r="D63" s="67"/>
      <c r="E63" s="67"/>
      <c r="F63" s="67"/>
      <c r="G63" s="67"/>
      <c r="H63" s="67"/>
      <c r="I63" s="67"/>
      <c r="J63" s="68"/>
      <c r="K63"/>
      <c r="L63" s="68" t="s">
        <v>1047</v>
      </c>
      <c r="M63" s="68"/>
      <c r="N63" s="67"/>
      <c r="O63" s="68"/>
      <c r="P63" s="68"/>
      <c r="Q63" s="148"/>
      <c r="R63" s="148">
        <f>'TRIBUTI SERVIZI '!P85</f>
        <v>3380</v>
      </c>
      <c r="S63" s="148"/>
      <c r="T63" s="148">
        <f t="shared" si="0"/>
        <v>3380</v>
      </c>
      <c r="U63" s="148"/>
      <c r="V63" s="67"/>
      <c r="W63" s="69"/>
      <c r="X63" s="70"/>
      <c r="Y63" s="71"/>
    </row>
    <row r="64" spans="1:25" ht="31.5" customHeight="1" x14ac:dyDescent="0.25">
      <c r="A64" s="66"/>
      <c r="B64" s="66"/>
      <c r="C64" s="67"/>
      <c r="D64" s="67"/>
      <c r="E64" s="67"/>
      <c r="F64" s="67"/>
      <c r="G64" s="67"/>
      <c r="H64" s="67"/>
      <c r="I64" s="67"/>
      <c r="J64" s="68"/>
      <c r="K64"/>
      <c r="L64" s="68" t="s">
        <v>1048</v>
      </c>
      <c r="M64" s="68"/>
      <c r="N64" s="67"/>
      <c r="O64" s="68"/>
      <c r="P64" s="68"/>
      <c r="Q64" s="148"/>
      <c r="R64" s="148">
        <f>'TRIBUTI SERVIZI '!Q92</f>
        <v>12476.79</v>
      </c>
      <c r="S64" s="148"/>
      <c r="T64" s="148">
        <f t="shared" si="0"/>
        <v>12476.79</v>
      </c>
      <c r="U64" s="148"/>
      <c r="V64" s="67"/>
      <c r="W64" s="69"/>
      <c r="X64" s="70"/>
      <c r="Y64" s="71"/>
    </row>
    <row r="65" spans="1:25" ht="31.5" customHeight="1" x14ac:dyDescent="0.25">
      <c r="A65" s="66"/>
      <c r="B65" s="66"/>
      <c r="C65" s="67"/>
      <c r="D65" s="67"/>
      <c r="E65" s="67"/>
      <c r="F65" s="67"/>
      <c r="G65" s="67"/>
      <c r="H65" s="67"/>
      <c r="I65" s="67"/>
      <c r="J65" s="68"/>
      <c r="K65"/>
      <c r="L65" s="68" t="s">
        <v>324</v>
      </c>
      <c r="M65" s="68"/>
      <c r="N65" s="67"/>
      <c r="O65" s="68"/>
      <c r="P65" s="68"/>
      <c r="Q65" s="148"/>
      <c r="R65" s="148">
        <f>'TRIBUTI SERVIZI '!P94</f>
        <v>768</v>
      </c>
      <c r="S65" s="148"/>
      <c r="T65" s="148">
        <f t="shared" si="0"/>
        <v>768</v>
      </c>
      <c r="U65" s="148"/>
      <c r="V65" s="67"/>
      <c r="W65" s="69"/>
      <c r="X65" s="70"/>
      <c r="Y65" s="71"/>
    </row>
    <row r="66" spans="1:25" ht="36.75" customHeight="1" x14ac:dyDescent="0.25">
      <c r="A66" s="66" t="s">
        <v>667</v>
      </c>
      <c r="B66" s="66" t="s">
        <v>352</v>
      </c>
      <c r="C66" s="67">
        <v>2021</v>
      </c>
      <c r="D66" s="67">
        <v>2021</v>
      </c>
      <c r="E66" s="67" t="s">
        <v>363</v>
      </c>
      <c r="F66" s="67"/>
      <c r="G66" s="67"/>
      <c r="H66" s="67"/>
      <c r="I66" s="67"/>
      <c r="J66" s="68"/>
      <c r="K66" t="s">
        <v>648</v>
      </c>
      <c r="L66" s="68" t="s">
        <v>1049</v>
      </c>
      <c r="M66" s="68">
        <v>1</v>
      </c>
      <c r="N66" s="67"/>
      <c r="O66" s="68"/>
      <c r="P66" s="68"/>
      <c r="Q66" s="148"/>
      <c r="R66" s="148">
        <f>'TRIBUTI SERVIZI '!Q98</f>
        <v>53440</v>
      </c>
      <c r="S66" s="148"/>
      <c r="T66" s="148">
        <f t="shared" si="0"/>
        <v>53440</v>
      </c>
      <c r="U66" s="148"/>
      <c r="V66" s="67"/>
      <c r="W66" s="69"/>
      <c r="X66" s="70"/>
      <c r="Y66" s="71"/>
    </row>
    <row r="67" spans="1:25" ht="27.75" customHeight="1" x14ac:dyDescent="0.2">
      <c r="A67" s="66" t="s">
        <v>664</v>
      </c>
      <c r="B67" s="66" t="s">
        <v>352</v>
      </c>
      <c r="C67" s="67">
        <v>2021</v>
      </c>
      <c r="D67" s="67">
        <v>2021</v>
      </c>
      <c r="E67" s="67" t="s">
        <v>363</v>
      </c>
      <c r="F67" s="67" t="s">
        <v>363</v>
      </c>
      <c r="G67" s="67" t="s">
        <v>363</v>
      </c>
      <c r="H67" s="67" t="s">
        <v>363</v>
      </c>
      <c r="I67" s="67" t="s">
        <v>355</v>
      </c>
      <c r="J67" s="68" t="s">
        <v>406</v>
      </c>
      <c r="K67" s="67" t="s">
        <v>447</v>
      </c>
      <c r="L67" s="68" t="s">
        <v>525</v>
      </c>
      <c r="M67" s="68">
        <v>2</v>
      </c>
      <c r="N67" s="67"/>
      <c r="O67" s="68"/>
      <c r="P67" s="68"/>
      <c r="Q67" s="148"/>
      <c r="R67" s="148">
        <f>'TRIBUTI SERVIZI '!P100</f>
        <v>13701.4</v>
      </c>
      <c r="S67" s="148"/>
      <c r="T67" s="148">
        <f t="shared" si="0"/>
        <v>13701.4</v>
      </c>
      <c r="U67" s="148">
        <v>0</v>
      </c>
      <c r="V67" s="67">
        <v>0</v>
      </c>
      <c r="W67" s="69" t="s">
        <v>359</v>
      </c>
      <c r="X67" s="70" t="s">
        <v>360</v>
      </c>
      <c r="Y67" s="71"/>
    </row>
    <row r="68" spans="1:25" ht="30.75" customHeight="1" x14ac:dyDescent="0.2">
      <c r="A68" s="66" t="s">
        <v>663</v>
      </c>
      <c r="B68" s="66" t="s">
        <v>352</v>
      </c>
      <c r="C68" s="67">
        <v>2021</v>
      </c>
      <c r="D68" s="67">
        <v>2021</v>
      </c>
      <c r="E68" s="67" t="s">
        <v>363</v>
      </c>
      <c r="F68" s="67" t="s">
        <v>363</v>
      </c>
      <c r="G68" s="67" t="s">
        <v>363</v>
      </c>
      <c r="H68" s="67" t="s">
        <v>363</v>
      </c>
      <c r="I68" s="67" t="s">
        <v>355</v>
      </c>
      <c r="J68" s="68" t="s">
        <v>406</v>
      </c>
      <c r="K68" s="67" t="s">
        <v>447</v>
      </c>
      <c r="L68" s="68" t="s">
        <v>524</v>
      </c>
      <c r="M68" s="68">
        <v>2</v>
      </c>
      <c r="N68" s="67"/>
      <c r="O68" s="68"/>
      <c r="P68" s="68"/>
      <c r="Q68" s="148"/>
      <c r="R68" s="148">
        <f>'TRIBUTI SERVIZI '!P102</f>
        <v>7472</v>
      </c>
      <c r="S68" s="148"/>
      <c r="T68" s="148">
        <f t="shared" si="0"/>
        <v>7472</v>
      </c>
      <c r="U68" s="148">
        <v>0</v>
      </c>
      <c r="V68" s="67">
        <v>0</v>
      </c>
      <c r="W68" s="69" t="s">
        <v>359</v>
      </c>
      <c r="X68" s="70" t="s">
        <v>360</v>
      </c>
      <c r="Y68" s="71"/>
    </row>
    <row r="69" spans="1:25" ht="30" customHeight="1" x14ac:dyDescent="0.2">
      <c r="A69" s="66" t="s">
        <v>665</v>
      </c>
      <c r="B69" s="66" t="s">
        <v>352</v>
      </c>
      <c r="C69" s="67">
        <v>2021</v>
      </c>
      <c r="D69" s="67">
        <v>2021</v>
      </c>
      <c r="E69" s="67" t="s">
        <v>363</v>
      </c>
      <c r="F69" s="67" t="s">
        <v>363</v>
      </c>
      <c r="G69" s="67" t="s">
        <v>363</v>
      </c>
      <c r="H69" s="67" t="s">
        <v>363</v>
      </c>
      <c r="I69" s="67" t="s">
        <v>355</v>
      </c>
      <c r="J69" s="68" t="s">
        <v>406</v>
      </c>
      <c r="K69" s="67" t="s">
        <v>447</v>
      </c>
      <c r="L69" s="68" t="s">
        <v>526</v>
      </c>
      <c r="M69" s="68">
        <v>2</v>
      </c>
      <c r="N69" s="67"/>
      <c r="O69" s="68"/>
      <c r="P69" s="68"/>
      <c r="Q69" s="148"/>
      <c r="R69" s="148">
        <f>'TRIBUTI SERVIZI '!P104</f>
        <v>4428</v>
      </c>
      <c r="S69" s="148"/>
      <c r="T69" s="148">
        <f t="shared" si="0"/>
        <v>4428</v>
      </c>
      <c r="U69" s="148">
        <v>0</v>
      </c>
      <c r="V69" s="67">
        <v>0</v>
      </c>
      <c r="W69" s="69" t="s">
        <v>359</v>
      </c>
      <c r="X69" s="70" t="s">
        <v>360</v>
      </c>
      <c r="Y69" s="71"/>
    </row>
    <row r="70" spans="1:25" ht="30" customHeight="1" x14ac:dyDescent="0.2">
      <c r="A70" s="66"/>
      <c r="B70" s="66"/>
      <c r="C70" s="67"/>
      <c r="D70" s="67"/>
      <c r="E70" s="67"/>
      <c r="F70" s="67"/>
      <c r="G70" s="67"/>
      <c r="H70" s="67"/>
      <c r="I70" s="67"/>
      <c r="J70" s="68"/>
      <c r="K70" s="67"/>
      <c r="L70" s="68" t="s">
        <v>1050</v>
      </c>
      <c r="M70" s="68"/>
      <c r="N70" s="67"/>
      <c r="O70" s="68"/>
      <c r="P70" s="68"/>
      <c r="Q70" s="148"/>
      <c r="R70" s="148">
        <f>'TRIBUTI SERVIZI '!Q108</f>
        <v>3231.3199999999997</v>
      </c>
      <c r="S70" s="148"/>
      <c r="T70" s="148">
        <f t="shared" si="0"/>
        <v>3231.3199999999997</v>
      </c>
      <c r="U70" s="148"/>
      <c r="V70" s="67"/>
      <c r="W70" s="69"/>
      <c r="X70" s="70"/>
      <c r="Y70" s="71"/>
    </row>
    <row r="71" spans="1:25" ht="20.100000000000001" customHeight="1" x14ac:dyDescent="0.2">
      <c r="A71" s="66" t="s">
        <v>666</v>
      </c>
      <c r="B71" s="66" t="s">
        <v>352</v>
      </c>
      <c r="C71" s="67">
        <v>2021</v>
      </c>
      <c r="D71" s="67">
        <v>2021</v>
      </c>
      <c r="E71" s="67" t="s">
        <v>363</v>
      </c>
      <c r="F71" s="67" t="s">
        <v>363</v>
      </c>
      <c r="G71" s="67" t="s">
        <v>363</v>
      </c>
      <c r="H71" s="67" t="s">
        <v>363</v>
      </c>
      <c r="I71" s="67" t="s">
        <v>355</v>
      </c>
      <c r="J71" s="68" t="s">
        <v>356</v>
      </c>
      <c r="K71" s="67" t="s">
        <v>450</v>
      </c>
      <c r="L71" s="68" t="s">
        <v>527</v>
      </c>
      <c r="M71" s="68">
        <v>2</v>
      </c>
      <c r="N71" s="67"/>
      <c r="O71" s="68"/>
      <c r="P71" s="68"/>
      <c r="Q71" s="148"/>
      <c r="R71" s="148">
        <f>'TRIBUTI SERVIZI '!P110</f>
        <v>3182</v>
      </c>
      <c r="S71" s="148"/>
      <c r="T71" s="148">
        <f t="shared" si="0"/>
        <v>3182</v>
      </c>
      <c r="U71" s="148">
        <v>0</v>
      </c>
      <c r="V71" s="67">
        <v>0</v>
      </c>
      <c r="W71" s="69" t="s">
        <v>359</v>
      </c>
      <c r="X71" s="70" t="s">
        <v>360</v>
      </c>
      <c r="Y71" s="71"/>
    </row>
    <row r="72" spans="1:25" ht="20.100000000000001" customHeight="1" x14ac:dyDescent="0.2">
      <c r="A72" s="66"/>
      <c r="B72" s="66"/>
      <c r="C72" s="67"/>
      <c r="D72" s="67"/>
      <c r="E72" s="67"/>
      <c r="F72" s="67"/>
      <c r="G72" s="67"/>
      <c r="H72" s="67"/>
      <c r="I72" s="67"/>
      <c r="J72" s="68"/>
      <c r="K72" s="67"/>
      <c r="L72" s="68"/>
      <c r="M72" s="68"/>
      <c r="N72" s="67"/>
      <c r="O72" s="68"/>
      <c r="P72" s="68"/>
      <c r="Q72" s="65"/>
      <c r="R72" s="65"/>
      <c r="S72" s="65"/>
      <c r="T72" s="148">
        <f t="shared" si="0"/>
        <v>0</v>
      </c>
      <c r="U72" s="65">
        <v>0</v>
      </c>
      <c r="V72" s="67">
        <v>0</v>
      </c>
      <c r="W72" s="69" t="s">
        <v>359</v>
      </c>
      <c r="X72" s="70" t="s">
        <v>360</v>
      </c>
      <c r="Y72" s="71"/>
    </row>
    <row r="73" spans="1:25" ht="15" customHeight="1" x14ac:dyDescent="0.2">
      <c r="A73" s="81"/>
      <c r="Q73" s="82">
        <f>SUM(Q10:Q72)</f>
        <v>865876.3</v>
      </c>
      <c r="R73" s="82">
        <f>SUM(R10:R72)</f>
        <v>564876.30000000005</v>
      </c>
      <c r="S73" s="82">
        <f>SUM(S13:S72)</f>
        <v>0</v>
      </c>
      <c r="T73" s="82">
        <f>SUM(T10:T72)</f>
        <v>1430752.6</v>
      </c>
      <c r="U73" s="82" t="s">
        <v>458</v>
      </c>
    </row>
    <row r="74" spans="1:25" x14ac:dyDescent="0.2">
      <c r="A74" s="66"/>
    </row>
    <row r="75" spans="1:25" x14ac:dyDescent="0.2">
      <c r="A75" s="711" t="s">
        <v>459</v>
      </c>
      <c r="B75" s="711"/>
      <c r="C75" s="711"/>
      <c r="D75" s="711"/>
      <c r="E75" s="711"/>
      <c r="F75" s="711"/>
      <c r="G75" s="711"/>
      <c r="H75" s="711"/>
      <c r="I75" s="711"/>
      <c r="J75" s="711"/>
      <c r="K75" s="711"/>
      <c r="L75" s="711"/>
    </row>
    <row r="76" spans="1:25" x14ac:dyDescent="0.2">
      <c r="A76" s="712" t="s">
        <v>460</v>
      </c>
      <c r="B76" s="712"/>
      <c r="C76" s="712"/>
      <c r="D76" s="713"/>
      <c r="E76" s="713"/>
      <c r="F76" s="713"/>
      <c r="G76" s="713"/>
      <c r="H76" s="713"/>
      <c r="I76" s="713"/>
      <c r="J76" s="713"/>
      <c r="K76" s="713"/>
      <c r="L76" s="713"/>
    </row>
    <row r="77" spans="1:25" x14ac:dyDescent="0.2">
      <c r="A77" s="699" t="s">
        <v>461</v>
      </c>
      <c r="B77" s="699"/>
      <c r="C77" s="699"/>
      <c r="D77" s="699"/>
      <c r="E77" s="699"/>
      <c r="F77" s="699"/>
      <c r="G77" s="699"/>
      <c r="H77" s="699"/>
      <c r="I77" s="699"/>
      <c r="J77" s="699"/>
      <c r="K77" s="699"/>
      <c r="L77" s="699"/>
      <c r="Q77" s="83" t="s">
        <v>462</v>
      </c>
    </row>
    <row r="78" spans="1:25" ht="25.5" customHeight="1" x14ac:dyDescent="0.2">
      <c r="A78" s="699" t="s">
        <v>463</v>
      </c>
      <c r="B78" s="699"/>
      <c r="C78" s="699"/>
      <c r="D78" s="699"/>
      <c r="E78" s="699"/>
      <c r="F78" s="699"/>
      <c r="G78" s="699"/>
      <c r="H78" s="699"/>
      <c r="I78" s="699"/>
      <c r="J78" s="699"/>
      <c r="K78" s="699"/>
      <c r="L78" s="699"/>
      <c r="M78" s="699"/>
      <c r="N78" s="699"/>
      <c r="Q78" s="83" t="s">
        <v>464</v>
      </c>
      <c r="Y78" s="83"/>
    </row>
    <row r="79" spans="1:25" x14ac:dyDescent="0.2">
      <c r="A79" s="699" t="s">
        <v>465</v>
      </c>
      <c r="B79" s="704"/>
      <c r="C79" s="704"/>
      <c r="D79" s="704"/>
      <c r="E79" s="704"/>
      <c r="F79" s="704"/>
      <c r="G79" s="704"/>
      <c r="H79" s="704"/>
      <c r="I79" s="704"/>
      <c r="J79" s="704"/>
      <c r="K79" s="704"/>
      <c r="L79" s="704"/>
      <c r="Q79" s="83"/>
      <c r="Y79" s="83"/>
    </row>
    <row r="80" spans="1:25" x14ac:dyDescent="0.2">
      <c r="A80" s="705" t="s">
        <v>466</v>
      </c>
      <c r="B80" s="705"/>
      <c r="C80" s="705"/>
      <c r="D80" s="705"/>
      <c r="E80" s="705"/>
      <c r="F80" s="705"/>
      <c r="G80" s="705"/>
      <c r="H80" s="705"/>
      <c r="I80" s="705"/>
      <c r="J80" s="705"/>
      <c r="K80" s="705"/>
      <c r="L80" s="705"/>
    </row>
    <row r="81" spans="1:24" ht="12.75" customHeight="1" x14ac:dyDescent="0.2">
      <c r="A81" s="699" t="s">
        <v>467</v>
      </c>
      <c r="B81" s="699"/>
      <c r="C81" s="699"/>
      <c r="D81" s="699"/>
      <c r="E81" s="699"/>
      <c r="F81" s="699"/>
      <c r="G81" s="699"/>
      <c r="H81" s="699"/>
      <c r="I81" s="699"/>
      <c r="J81" s="699"/>
      <c r="K81" s="699"/>
      <c r="L81" s="84"/>
      <c r="P81" s="706" t="s">
        <v>468</v>
      </c>
      <c r="Q81" s="707"/>
      <c r="R81" s="707"/>
      <c r="S81" s="707"/>
      <c r="T81" s="707"/>
      <c r="U81" s="707"/>
      <c r="V81" s="707"/>
      <c r="W81" s="707"/>
      <c r="X81" s="708"/>
    </row>
    <row r="82" spans="1:24" ht="12.75" customHeight="1" x14ac:dyDescent="0.2">
      <c r="A82" s="699" t="s">
        <v>469</v>
      </c>
      <c r="B82" s="699"/>
      <c r="C82" s="699"/>
      <c r="D82" s="699"/>
      <c r="E82" s="699"/>
      <c r="F82" s="699"/>
      <c r="G82" s="699"/>
      <c r="H82" s="699"/>
      <c r="I82" s="699"/>
      <c r="J82" s="699"/>
      <c r="K82" s="699"/>
      <c r="P82" s="700" t="s">
        <v>470</v>
      </c>
      <c r="Q82" s="701"/>
      <c r="R82" s="701"/>
      <c r="S82" s="701"/>
      <c r="T82" s="702"/>
      <c r="U82" s="85" t="s">
        <v>471</v>
      </c>
      <c r="V82" s="86"/>
      <c r="W82" s="86"/>
      <c r="X82" s="87"/>
    </row>
    <row r="83" spans="1:24" ht="12.75" customHeight="1" x14ac:dyDescent="0.2">
      <c r="A83" s="699" t="s">
        <v>472</v>
      </c>
      <c r="B83" s="699"/>
      <c r="C83" s="699"/>
      <c r="D83" s="699"/>
      <c r="E83" s="699"/>
      <c r="F83" s="699"/>
      <c r="G83" s="699"/>
      <c r="H83" s="699"/>
      <c r="I83" s="699"/>
      <c r="J83" s="699"/>
      <c r="K83" s="699"/>
      <c r="L83" s="699"/>
      <c r="M83" s="699"/>
      <c r="N83" s="699"/>
      <c r="P83" s="88"/>
      <c r="Q83" s="89"/>
      <c r="R83" s="89"/>
      <c r="S83" s="89"/>
      <c r="T83" s="89"/>
      <c r="U83" s="90"/>
      <c r="V83" s="86"/>
      <c r="W83" s="86"/>
      <c r="X83" s="87"/>
    </row>
    <row r="84" spans="1:24" ht="12.75" customHeight="1" x14ac:dyDescent="0.2">
      <c r="A84" s="699" t="s">
        <v>473</v>
      </c>
      <c r="B84" s="699"/>
      <c r="C84" s="699"/>
      <c r="D84" s="699"/>
      <c r="E84" s="699"/>
      <c r="F84" s="699"/>
      <c r="G84" s="699"/>
      <c r="H84" s="699"/>
      <c r="I84" s="699"/>
      <c r="J84" s="699"/>
      <c r="K84" s="699"/>
      <c r="L84" s="699"/>
      <c r="M84" s="699"/>
      <c r="N84" s="699"/>
      <c r="P84" s="716" t="s">
        <v>474</v>
      </c>
      <c r="Q84" s="717"/>
      <c r="R84" s="717"/>
      <c r="S84" s="717"/>
      <c r="T84" s="717"/>
      <c r="U84" s="717"/>
      <c r="V84" s="717"/>
      <c r="W84" s="717"/>
      <c r="X84" s="718"/>
    </row>
    <row r="85" spans="1:24" ht="12" customHeight="1" x14ac:dyDescent="0.25">
      <c r="A85" s="699" t="s">
        <v>475</v>
      </c>
      <c r="B85" s="699"/>
      <c r="C85" s="699"/>
      <c r="D85" s="699"/>
      <c r="E85" s="699"/>
      <c r="F85" s="699"/>
      <c r="G85" s="699"/>
      <c r="H85" s="699"/>
      <c r="I85" s="699"/>
      <c r="J85" s="699"/>
      <c r="K85" s="699"/>
      <c r="L85" s="699"/>
      <c r="M85" s="699"/>
      <c r="N85" s="699"/>
      <c r="P85" s="719" t="s">
        <v>476</v>
      </c>
      <c r="Q85" s="720"/>
      <c r="R85" s="720"/>
      <c r="S85" s="720"/>
      <c r="T85" s="721"/>
      <c r="U85" s="91" t="s">
        <v>477</v>
      </c>
      <c r="V85" s="91" t="s">
        <v>478</v>
      </c>
      <c r="W85" s="722" t="s">
        <v>479</v>
      </c>
      <c r="X85" s="723"/>
    </row>
    <row r="86" spans="1:24" ht="12.75" customHeight="1" x14ac:dyDescent="0.2">
      <c r="A86" s="699" t="s">
        <v>480</v>
      </c>
      <c r="B86" s="699"/>
      <c r="C86" s="699"/>
      <c r="D86" s="699"/>
      <c r="E86" s="699"/>
      <c r="F86" s="699"/>
      <c r="G86" s="699"/>
      <c r="H86" s="699"/>
      <c r="I86" s="699"/>
      <c r="J86" s="699"/>
      <c r="K86" s="699"/>
      <c r="L86" s="699"/>
      <c r="M86" s="699"/>
      <c r="N86" s="699"/>
      <c r="P86" s="724" t="s">
        <v>481</v>
      </c>
      <c r="Q86" s="725"/>
      <c r="R86" s="725"/>
      <c r="S86" s="725"/>
      <c r="T86" s="726"/>
      <c r="U86" s="85" t="s">
        <v>482</v>
      </c>
      <c r="V86" s="92" t="s">
        <v>482</v>
      </c>
      <c r="W86" s="724" t="s">
        <v>482</v>
      </c>
      <c r="X86" s="726"/>
    </row>
    <row r="87" spans="1:24" s="93" customFormat="1" ht="12.75" customHeight="1" x14ac:dyDescent="0.2">
      <c r="A87" s="699" t="s">
        <v>483</v>
      </c>
      <c r="B87" s="699"/>
      <c r="C87" s="699"/>
      <c r="D87" s="699"/>
      <c r="E87" s="699"/>
      <c r="F87" s="699"/>
      <c r="G87" s="699"/>
      <c r="H87" s="699"/>
      <c r="I87" s="699"/>
      <c r="J87" s="699"/>
      <c r="K87" s="699"/>
      <c r="L87" s="699"/>
      <c r="M87" s="699"/>
      <c r="N87" s="699"/>
      <c r="P87" s="724" t="s">
        <v>484</v>
      </c>
      <c r="Q87" s="725"/>
      <c r="R87" s="725"/>
      <c r="S87" s="725"/>
      <c r="T87" s="726"/>
      <c r="U87" s="85" t="s">
        <v>482</v>
      </c>
      <c r="V87" s="92" t="s">
        <v>482</v>
      </c>
      <c r="W87" s="724" t="s">
        <v>482</v>
      </c>
      <c r="X87" s="726"/>
    </row>
    <row r="88" spans="1:24" s="93" customFormat="1" ht="12.75" customHeight="1" x14ac:dyDescent="0.2">
      <c r="A88" s="699"/>
      <c r="B88" s="699"/>
      <c r="C88" s="699"/>
      <c r="D88" s="699"/>
      <c r="E88" s="699"/>
      <c r="F88" s="699"/>
      <c r="G88" s="699"/>
      <c r="H88" s="699"/>
      <c r="I88" s="699"/>
      <c r="J88" s="699"/>
      <c r="K88" s="699"/>
      <c r="L88" s="699"/>
      <c r="M88" s="699"/>
      <c r="N88" s="699"/>
      <c r="P88" s="724" t="s">
        <v>485</v>
      </c>
      <c r="Q88" s="725"/>
      <c r="R88" s="725"/>
      <c r="S88" s="725"/>
      <c r="T88" s="726"/>
      <c r="U88" s="85">
        <v>4599555</v>
      </c>
      <c r="V88" s="94">
        <v>4570379</v>
      </c>
      <c r="W88" s="724">
        <v>4570179</v>
      </c>
      <c r="X88" s="726"/>
    </row>
    <row r="89" spans="1:24" s="93" customFormat="1" ht="12.75" customHeight="1" x14ac:dyDescent="0.2">
      <c r="A89" s="95"/>
      <c r="B89" s="95"/>
      <c r="C89" s="95"/>
      <c r="D89" s="95"/>
      <c r="E89" s="95"/>
      <c r="F89" s="95"/>
      <c r="G89" s="95"/>
      <c r="H89" s="95"/>
      <c r="I89" s="95"/>
      <c r="J89" s="95"/>
      <c r="K89" s="95"/>
      <c r="L89" s="95"/>
      <c r="M89" s="95"/>
      <c r="N89" s="95"/>
      <c r="P89" s="724" t="s">
        <v>486</v>
      </c>
      <c r="Q89" s="725"/>
      <c r="R89" s="725"/>
      <c r="S89" s="725"/>
      <c r="T89" s="726"/>
      <c r="U89" s="85" t="s">
        <v>482</v>
      </c>
      <c r="V89" s="92" t="s">
        <v>482</v>
      </c>
      <c r="W89" s="724" t="s">
        <v>482</v>
      </c>
      <c r="X89" s="726"/>
    </row>
    <row r="90" spans="1:24" ht="12" customHeight="1" x14ac:dyDescent="0.2">
      <c r="A90" s="96" t="s">
        <v>487</v>
      </c>
      <c r="P90" s="724" t="s">
        <v>488</v>
      </c>
      <c r="Q90" s="725"/>
      <c r="R90" s="725"/>
      <c r="S90" s="725"/>
      <c r="T90" s="726"/>
      <c r="U90" s="85" t="s">
        <v>482</v>
      </c>
      <c r="V90" s="92" t="s">
        <v>482</v>
      </c>
      <c r="W90" s="724" t="s">
        <v>482</v>
      </c>
      <c r="X90" s="726"/>
    </row>
    <row r="91" spans="1:24" ht="12.75" customHeight="1" x14ac:dyDescent="0.2">
      <c r="A91" s="704" t="s">
        <v>489</v>
      </c>
      <c r="B91" s="704"/>
      <c r="J91" s="97"/>
      <c r="P91" s="724" t="s">
        <v>490</v>
      </c>
      <c r="Q91" s="725"/>
      <c r="R91" s="725"/>
      <c r="S91" s="725"/>
      <c r="T91" s="726"/>
      <c r="U91" s="85" t="s">
        <v>482</v>
      </c>
      <c r="V91" s="92" t="s">
        <v>482</v>
      </c>
      <c r="W91" s="724" t="s">
        <v>482</v>
      </c>
      <c r="X91" s="726"/>
    </row>
    <row r="92" spans="1:24" x14ac:dyDescent="0.2">
      <c r="A92" s="704" t="s">
        <v>491</v>
      </c>
      <c r="B92" s="704"/>
    </row>
    <row r="93" spans="1:24" ht="12.75" customHeight="1" x14ac:dyDescent="0.2">
      <c r="A93" s="704" t="s">
        <v>492</v>
      </c>
      <c r="B93" s="704"/>
    </row>
    <row r="94" spans="1:24" ht="12.75" customHeight="1" x14ac:dyDescent="0.2"/>
    <row r="95" spans="1:24" ht="12.75" customHeight="1" x14ac:dyDescent="0.2">
      <c r="A95" s="98" t="s">
        <v>493</v>
      </c>
      <c r="B95" s="93"/>
      <c r="C95" s="93"/>
      <c r="D95" s="93"/>
      <c r="W95" s="93"/>
      <c r="X95" s="93"/>
    </row>
    <row r="96" spans="1:24" s="93" customFormat="1" ht="14.25" customHeight="1" x14ac:dyDescent="0.2">
      <c r="A96" s="727" t="s">
        <v>494</v>
      </c>
      <c r="B96" s="727"/>
      <c r="C96" s="727"/>
      <c r="D96" s="727"/>
      <c r="E96" s="95"/>
      <c r="F96" s="95"/>
      <c r="G96" s="95"/>
      <c r="H96" s="95"/>
      <c r="I96" s="95"/>
      <c r="J96" s="95"/>
      <c r="K96" s="95"/>
      <c r="L96" s="95"/>
      <c r="M96" s="95"/>
      <c r="O96" s="62"/>
      <c r="P96" s="62"/>
      <c r="Q96" s="62"/>
      <c r="R96" s="62"/>
      <c r="S96" s="62"/>
      <c r="T96" s="62"/>
      <c r="U96" s="62"/>
      <c r="V96" s="62"/>
      <c r="W96" s="62"/>
      <c r="X96" s="62"/>
    </row>
    <row r="97" spans="1:10" ht="14.25" customHeight="1" x14ac:dyDescent="0.2">
      <c r="A97" s="727" t="s">
        <v>495</v>
      </c>
      <c r="B97" s="727"/>
      <c r="C97" s="727"/>
      <c r="D97" s="727"/>
    </row>
    <row r="98" spans="1:10" ht="14.25" customHeight="1" x14ac:dyDescent="0.2">
      <c r="A98" s="727" t="s">
        <v>496</v>
      </c>
      <c r="B98" s="727"/>
      <c r="C98" s="727"/>
      <c r="D98" s="727"/>
      <c r="J98" s="97"/>
    </row>
    <row r="99" spans="1:10" ht="14.25" customHeight="1" x14ac:dyDescent="0.2">
      <c r="A99" s="727" t="s">
        <v>497</v>
      </c>
      <c r="B99" s="727"/>
      <c r="C99" s="727"/>
      <c r="D99" s="727"/>
    </row>
    <row r="100" spans="1:10" ht="14.25" customHeight="1" x14ac:dyDescent="0.2">
      <c r="A100" s="727" t="s">
        <v>498</v>
      </c>
      <c r="B100" s="727"/>
      <c r="C100" s="727"/>
      <c r="D100" s="727"/>
    </row>
  </sheetData>
  <mergeCells count="68">
    <mergeCell ref="A97:D97"/>
    <mergeCell ref="A98:D98"/>
    <mergeCell ref="A99:D99"/>
    <mergeCell ref="A100:D100"/>
    <mergeCell ref="A91:B91"/>
    <mergeCell ref="P91:T91"/>
    <mergeCell ref="W91:X91"/>
    <mergeCell ref="A92:B92"/>
    <mergeCell ref="A93:B93"/>
    <mergeCell ref="A96:D96"/>
    <mergeCell ref="P90:T90"/>
    <mergeCell ref="W90:X90"/>
    <mergeCell ref="A86:N86"/>
    <mergeCell ref="P86:T86"/>
    <mergeCell ref="W86:X86"/>
    <mergeCell ref="A87:N87"/>
    <mergeCell ref="P87:T87"/>
    <mergeCell ref="W87:X87"/>
    <mergeCell ref="A88:N88"/>
    <mergeCell ref="P88:T88"/>
    <mergeCell ref="W88:X88"/>
    <mergeCell ref="P89:T89"/>
    <mergeCell ref="W89:X89"/>
    <mergeCell ref="A83:N83"/>
    <mergeCell ref="A84:N84"/>
    <mergeCell ref="P84:X84"/>
    <mergeCell ref="A85:N85"/>
    <mergeCell ref="P85:T85"/>
    <mergeCell ref="W85:X85"/>
    <mergeCell ref="Q7:V7"/>
    <mergeCell ref="W7:X7"/>
    <mergeCell ref="H7:H9"/>
    <mergeCell ref="I7:I9"/>
    <mergeCell ref="J7:J9"/>
    <mergeCell ref="S8:S9"/>
    <mergeCell ref="T8:T9"/>
    <mergeCell ref="A82:K82"/>
    <mergeCell ref="P82:T82"/>
    <mergeCell ref="U8:V8"/>
    <mergeCell ref="A78:N78"/>
    <mergeCell ref="A79:L79"/>
    <mergeCell ref="A80:L80"/>
    <mergeCell ref="A81:K81"/>
    <mergeCell ref="P81:X81"/>
    <mergeCell ref="K7:K9"/>
    <mergeCell ref="L7:L9"/>
    <mergeCell ref="M7:M9"/>
    <mergeCell ref="W8:W9"/>
    <mergeCell ref="X8:X9"/>
    <mergeCell ref="A75:L75"/>
    <mergeCell ref="A76:L76"/>
    <mergeCell ref="A77:L77"/>
    <mergeCell ref="A1:Y1"/>
    <mergeCell ref="A2:Y2"/>
    <mergeCell ref="A4:Y4"/>
    <mergeCell ref="A7:A9"/>
    <mergeCell ref="B7:B9"/>
    <mergeCell ref="C7:C9"/>
    <mergeCell ref="D7:D9"/>
    <mergeCell ref="E7:E9"/>
    <mergeCell ref="F7:F9"/>
    <mergeCell ref="G7:G9"/>
    <mergeCell ref="Y7:Y9"/>
    <mergeCell ref="Q8:Q9"/>
    <mergeCell ref="R8:R9"/>
    <mergeCell ref="N7:N9"/>
    <mergeCell ref="O7:O9"/>
    <mergeCell ref="P7:P9"/>
  </mergeCells>
  <pageMargins left="0.70866141732283472" right="0.70866141732283472" top="0.74803149606299213" bottom="0.74803149606299213" header="0.31496062992125984" footer="0.31496062992125984"/>
  <pageSetup paperSize="8"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99"/>
  </sheetPr>
  <dimension ref="A1:U18"/>
  <sheetViews>
    <sheetView workbookViewId="0">
      <selection activeCell="P5" sqref="P5"/>
    </sheetView>
  </sheetViews>
  <sheetFormatPr defaultColWidth="9.140625" defaultRowHeight="15" x14ac:dyDescent="0.25"/>
  <cols>
    <col min="1" max="1" width="11.140625" customWidth="1"/>
    <col min="2" max="2" width="11.7109375" style="451" customWidth="1"/>
    <col min="3" max="3" width="55.28515625" style="59" customWidth="1"/>
    <col min="4" max="4" width="19.7109375" style="60" hidden="1" customWidth="1"/>
    <col min="5" max="5" width="20.140625" style="453" hidden="1" customWidth="1"/>
    <col min="6" max="7" width="20.140625" style="60" hidden="1" customWidth="1"/>
    <col min="8" max="8" width="17.85546875" style="60" customWidth="1"/>
    <col min="9" max="9" width="19" hidden="1" customWidth="1"/>
    <col min="10" max="10" width="32.7109375" hidden="1" customWidth="1"/>
    <col min="11" max="11" width="15.5703125" hidden="1" customWidth="1"/>
    <col min="12" max="13" width="9.140625" hidden="1" customWidth="1"/>
    <col min="14" max="14" width="15.85546875" customWidth="1"/>
    <col min="15" max="17" width="17.85546875" style="60" customWidth="1"/>
    <col min="18" max="18" width="17.85546875" style="60" hidden="1" customWidth="1"/>
    <col min="19" max="19" width="45.140625" bestFit="1" customWidth="1"/>
    <col min="20" max="20" width="20.42578125" customWidth="1"/>
    <col min="21" max="21" width="11.85546875" style="164" bestFit="1" customWidth="1"/>
  </cols>
  <sheetData>
    <row r="1" spans="1:21" ht="75" x14ac:dyDescent="0.25">
      <c r="B1" s="153"/>
      <c r="C1" s="3" t="s">
        <v>1</v>
      </c>
      <c r="D1" s="4" t="s">
        <v>675</v>
      </c>
      <c r="E1" s="154" t="s">
        <v>2</v>
      </c>
      <c r="F1" s="155" t="s">
        <v>676</v>
      </c>
      <c r="G1" s="156" t="s">
        <v>677</v>
      </c>
      <c r="H1" s="4" t="s">
        <v>678</v>
      </c>
      <c r="I1" s="157" t="s">
        <v>679</v>
      </c>
      <c r="J1" s="157" t="s">
        <v>680</v>
      </c>
      <c r="K1" s="157" t="s">
        <v>681</v>
      </c>
      <c r="O1" s="4" t="s">
        <v>682</v>
      </c>
      <c r="P1" s="4"/>
      <c r="Q1" s="4" t="s">
        <v>683</v>
      </c>
      <c r="R1" s="158"/>
      <c r="S1" s="159" t="s">
        <v>684</v>
      </c>
      <c r="T1" s="159" t="s">
        <v>685</v>
      </c>
      <c r="U1" s="160" t="s">
        <v>686</v>
      </c>
    </row>
    <row r="2" spans="1:21" ht="31.15" customHeight="1" x14ac:dyDescent="0.3">
      <c r="A2" t="s">
        <v>1059</v>
      </c>
      <c r="B2" s="231"/>
      <c r="C2" s="250" t="s">
        <v>711</v>
      </c>
      <c r="D2" s="106"/>
      <c r="E2" s="248"/>
      <c r="F2" s="106"/>
      <c r="G2" s="106"/>
      <c r="H2" s="106">
        <v>11000</v>
      </c>
      <c r="I2" s="43" t="s">
        <v>95</v>
      </c>
      <c r="J2" s="125"/>
      <c r="K2" s="125"/>
      <c r="L2" s="125"/>
      <c r="M2" s="125"/>
      <c r="N2" s="125"/>
      <c r="O2" s="106">
        <v>11000</v>
      </c>
      <c r="P2" s="106"/>
      <c r="Q2" s="106">
        <v>11000</v>
      </c>
      <c r="R2" s="247"/>
    </row>
    <row r="3" spans="1:21" ht="31.15" customHeight="1" x14ac:dyDescent="0.3">
      <c r="B3" s="231"/>
      <c r="C3" s="250"/>
      <c r="D3" s="54"/>
      <c r="E3" s="381"/>
      <c r="F3" s="54"/>
      <c r="G3" s="54"/>
      <c r="H3" s="54"/>
      <c r="I3" s="43"/>
      <c r="J3" s="125"/>
      <c r="K3" s="125"/>
      <c r="L3" s="125"/>
      <c r="M3" s="125"/>
      <c r="N3" s="125"/>
      <c r="O3" s="54"/>
      <c r="P3" s="54"/>
      <c r="Q3" s="54"/>
      <c r="R3" s="247"/>
    </row>
    <row r="4" spans="1:21" ht="87" customHeight="1" x14ac:dyDescent="0.25">
      <c r="A4" s="728" t="s">
        <v>1054</v>
      </c>
      <c r="B4" s="729"/>
      <c r="C4" s="627" t="s">
        <v>910</v>
      </c>
      <c r="D4" s="636"/>
      <c r="E4" s="637"/>
      <c r="F4" s="636"/>
      <c r="G4" s="636"/>
      <c r="H4" s="636">
        <f>'[1]previsione SMS 22-23-24'!B13</f>
        <v>31684.26</v>
      </c>
      <c r="I4" s="19" t="s">
        <v>95</v>
      </c>
      <c r="O4" s="636">
        <f>'[1]previsione SMS 22-23-24'!E13</f>
        <v>0</v>
      </c>
      <c r="P4" s="211"/>
      <c r="Q4" s="211">
        <f>'[1]previsione SMS 22-23-24'!H13</f>
        <v>0</v>
      </c>
      <c r="R4" s="363"/>
    </row>
    <row r="5" spans="1:21" ht="18.600000000000001" customHeight="1" x14ac:dyDescent="0.25">
      <c r="A5" s="730"/>
      <c r="B5" s="729"/>
      <c r="C5" s="627" t="s">
        <v>911</v>
      </c>
      <c r="D5" s="636"/>
      <c r="E5" s="637"/>
      <c r="F5" s="636"/>
      <c r="G5" s="636"/>
      <c r="H5" s="636">
        <f>'[1]previsione SMS 22-23-24'!B14</f>
        <v>31016.81</v>
      </c>
      <c r="I5" s="19" t="s">
        <v>95</v>
      </c>
      <c r="N5" s="631">
        <f>SUM(H4:H5)</f>
        <v>62701.07</v>
      </c>
      <c r="O5" s="636">
        <f>'[1]previsione SMS 22-23-24'!E14</f>
        <v>0</v>
      </c>
      <c r="P5" s="636">
        <f>SUM(O4:O5)</f>
        <v>0</v>
      </c>
      <c r="Q5" s="211">
        <f>'[1]previsione SMS 22-23-24'!H14</f>
        <v>0</v>
      </c>
      <c r="R5" s="363"/>
    </row>
    <row r="6" spans="1:21" ht="18.600000000000001" customHeight="1" x14ac:dyDescent="0.25">
      <c r="B6" s="231"/>
      <c r="C6" s="340"/>
      <c r="D6" s="211"/>
      <c r="E6" s="362"/>
      <c r="F6" s="211"/>
      <c r="G6" s="211"/>
      <c r="H6" s="211"/>
      <c r="I6" s="19"/>
      <c r="O6" s="211"/>
      <c r="P6" s="211"/>
      <c r="Q6" s="211"/>
      <c r="R6" s="363"/>
    </row>
    <row r="7" spans="1:21" ht="18.600000000000001" customHeight="1" x14ac:dyDescent="0.25">
      <c r="A7" t="s">
        <v>1056</v>
      </c>
      <c r="B7" s="231"/>
      <c r="C7" s="340" t="s">
        <v>1055</v>
      </c>
      <c r="D7" s="211"/>
      <c r="E7" s="362"/>
      <c r="F7" s="211"/>
      <c r="G7" s="211"/>
      <c r="H7" s="211">
        <f>'[1]previsione SMS 22-23-24'!B15</f>
        <v>5000</v>
      </c>
      <c r="I7" s="19" t="s">
        <v>95</v>
      </c>
      <c r="O7" s="211">
        <f>'[1]previsione SMS 22-23-24'!E15</f>
        <v>30000</v>
      </c>
      <c r="P7" s="211"/>
      <c r="Q7" s="211">
        <f>'[1]previsione SMS 22-23-24'!H15</f>
        <v>40000</v>
      </c>
      <c r="R7" s="363"/>
    </row>
    <row r="8" spans="1:21" ht="18.600000000000001" customHeight="1" x14ac:dyDescent="0.25">
      <c r="A8" t="s">
        <v>1057</v>
      </c>
      <c r="B8" s="231"/>
      <c r="C8" s="340" t="s">
        <v>913</v>
      </c>
      <c r="D8" s="211"/>
      <c r="E8" s="362"/>
      <c r="F8" s="211"/>
      <c r="G8" s="211"/>
      <c r="H8" s="211">
        <f>'[1]previsione SMS 22-23-24'!B16</f>
        <v>28000</v>
      </c>
      <c r="I8" s="19" t="s">
        <v>95</v>
      </c>
      <c r="O8" s="211">
        <f>'[1]previsione SMS 22-23-24'!E16</f>
        <v>40000</v>
      </c>
      <c r="P8" s="211"/>
      <c r="Q8" s="211">
        <f>'[1]previsione SMS 22-23-24'!H16</f>
        <v>50000</v>
      </c>
      <c r="R8" s="363"/>
    </row>
    <row r="9" spans="1:21" ht="18.600000000000001" customHeight="1" x14ac:dyDescent="0.25">
      <c r="A9" s="61" t="s">
        <v>1058</v>
      </c>
      <c r="B9" s="231"/>
      <c r="C9" s="340" t="s">
        <v>914</v>
      </c>
      <c r="D9" s="211"/>
      <c r="E9" s="362"/>
      <c r="F9" s="211"/>
      <c r="G9" s="211"/>
      <c r="H9" s="211">
        <f>'[1]previsione SMS 22-23-24'!B17</f>
        <v>5031.68</v>
      </c>
      <c r="I9" s="19" t="s">
        <v>95</v>
      </c>
      <c r="O9" s="211">
        <f>'[1]previsione SMS 22-23-24'!E17</f>
        <v>5031.68</v>
      </c>
      <c r="P9" s="211"/>
      <c r="Q9" s="211">
        <f>'[1]previsione SMS 22-23-24'!H17</f>
        <v>5031.68</v>
      </c>
      <c r="R9" s="363"/>
    </row>
    <row r="10" spans="1:21" ht="27" x14ac:dyDescent="0.25">
      <c r="A10" t="s">
        <v>1048</v>
      </c>
      <c r="B10" s="231"/>
      <c r="C10" s="340" t="s">
        <v>915</v>
      </c>
      <c r="D10" s="211"/>
      <c r="E10" s="362"/>
      <c r="F10" s="211"/>
      <c r="G10" s="211"/>
      <c r="H10" s="211">
        <f>'[1]previsione SMS 22-23-24'!B18</f>
        <v>500</v>
      </c>
      <c r="I10" s="19" t="s">
        <v>95</v>
      </c>
      <c r="O10" s="211">
        <f>'[1]previsione SMS 22-23-24'!E18</f>
        <v>500</v>
      </c>
      <c r="P10" s="211"/>
      <c r="Q10" s="211">
        <f>'[1]previsione SMS 22-23-24'!H18</f>
        <v>500</v>
      </c>
      <c r="R10" s="363"/>
    </row>
    <row r="11" spans="1:21" x14ac:dyDescent="0.25">
      <c r="H11" s="60">
        <f>SUM(H2:H10)</f>
        <v>112232.75</v>
      </c>
      <c r="I11" s="60">
        <f t="shared" ref="I11:Q11" si="0">SUM(I2:I10)</f>
        <v>0</v>
      </c>
      <c r="J11" s="60">
        <f t="shared" si="0"/>
        <v>0</v>
      </c>
      <c r="K11" s="60">
        <f t="shared" si="0"/>
        <v>0</v>
      </c>
      <c r="L11" s="60">
        <f t="shared" si="0"/>
        <v>0</v>
      </c>
      <c r="M11" s="60">
        <f t="shared" si="0"/>
        <v>0</v>
      </c>
      <c r="N11" s="60"/>
      <c r="O11" s="60">
        <f t="shared" si="0"/>
        <v>86531.68</v>
      </c>
      <c r="Q11" s="60">
        <f t="shared" si="0"/>
        <v>106531.68</v>
      </c>
    </row>
    <row r="12" spans="1:21" x14ac:dyDescent="0.25">
      <c r="C12" s="452"/>
    </row>
    <row r="14" spans="1:21" x14ac:dyDescent="0.25">
      <c r="C14"/>
    </row>
    <row r="15" spans="1:21" x14ac:dyDescent="0.25">
      <c r="B15"/>
      <c r="C15"/>
      <c r="D15" s="2"/>
      <c r="E15" s="454"/>
      <c r="F15" s="455"/>
      <c r="G15" s="455"/>
      <c r="H15" s="2"/>
      <c r="O15" s="2"/>
      <c r="P15" s="2"/>
      <c r="Q15" s="2"/>
      <c r="R15" s="2"/>
      <c r="U15"/>
    </row>
    <row r="16" spans="1:21" x14ac:dyDescent="0.25">
      <c r="B16"/>
      <c r="C16"/>
      <c r="D16" s="2"/>
      <c r="E16" s="454"/>
      <c r="F16" s="455"/>
      <c r="G16" s="455"/>
      <c r="H16" s="2"/>
      <c r="O16" s="2"/>
      <c r="P16" s="2"/>
      <c r="Q16" s="2"/>
      <c r="R16" s="2"/>
      <c r="U16"/>
    </row>
    <row r="17" spans="2:21" x14ac:dyDescent="0.25">
      <c r="B17"/>
      <c r="C17"/>
      <c r="D17" s="2"/>
      <c r="E17" s="454"/>
      <c r="F17" s="455"/>
      <c r="G17" s="455"/>
      <c r="H17" s="2"/>
      <c r="O17" s="2"/>
      <c r="P17" s="2"/>
      <c r="Q17" s="2"/>
      <c r="R17" s="2"/>
      <c r="U17"/>
    </row>
    <row r="18" spans="2:21" x14ac:dyDescent="0.25">
      <c r="B18"/>
      <c r="D18" s="2"/>
      <c r="E18" s="454"/>
      <c r="F18" s="455"/>
      <c r="G18" s="455"/>
      <c r="H18" s="2"/>
      <c r="O18" s="2"/>
      <c r="P18" s="2"/>
      <c r="Q18" s="2"/>
      <c r="R18" s="2"/>
      <c r="U18"/>
    </row>
  </sheetData>
  <mergeCells count="1">
    <mergeCell ref="A4: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99"/>
  </sheetPr>
  <dimension ref="A1:Y49"/>
  <sheetViews>
    <sheetView topLeftCell="G1" workbookViewId="0">
      <selection activeCell="R16" sqref="R16:R21"/>
    </sheetView>
  </sheetViews>
  <sheetFormatPr defaultRowHeight="12.75" x14ac:dyDescent="0.2"/>
  <cols>
    <col min="1" max="1" width="17.85546875" style="62" customWidth="1"/>
    <col min="2" max="2" width="16.85546875" style="62" customWidth="1"/>
    <col min="3" max="3" width="14.5703125" style="62" customWidth="1"/>
    <col min="4" max="5" width="15.85546875" style="62" customWidth="1"/>
    <col min="6" max="6" width="17.140625" style="62" customWidth="1"/>
    <col min="7" max="7" width="13.140625" style="62" customWidth="1"/>
    <col min="8" max="8" width="12.140625" style="62" customWidth="1"/>
    <col min="9" max="9" width="12.85546875" style="62" customWidth="1"/>
    <col min="10" max="10" width="14.42578125" style="62" customWidth="1"/>
    <col min="11" max="11" width="12.7109375" style="62" customWidth="1"/>
    <col min="12" max="12" width="31.7109375" style="62" customWidth="1"/>
    <col min="13" max="13" width="12.5703125" style="62" customWidth="1"/>
    <col min="14" max="14" width="17" style="62" customWidth="1"/>
    <col min="15" max="15" width="13.140625" style="62" customWidth="1"/>
    <col min="16" max="19" width="14.7109375" style="62" customWidth="1"/>
    <col min="20" max="20" width="17.140625" style="62" customWidth="1"/>
    <col min="21" max="21" width="12.5703125" style="62" customWidth="1"/>
    <col min="22" max="22" width="9.85546875" style="62" customWidth="1"/>
    <col min="23" max="23" width="14.7109375" style="62" customWidth="1"/>
    <col min="24" max="24" width="19.140625" style="62" customWidth="1"/>
    <col min="25" max="25" width="20.28515625" style="62" customWidth="1"/>
    <col min="26" max="26" width="13" style="62" customWidth="1"/>
    <col min="27" max="256" width="9.140625" style="62"/>
    <col min="257" max="257" width="17.85546875" style="62" customWidth="1"/>
    <col min="258" max="258" width="16.85546875" style="62" customWidth="1"/>
    <col min="259" max="259" width="14.5703125" style="62" customWidth="1"/>
    <col min="260" max="261" width="15.85546875" style="62" customWidth="1"/>
    <col min="262" max="262" width="17.140625" style="62" customWidth="1"/>
    <col min="263" max="263" width="13.140625" style="62" customWidth="1"/>
    <col min="264" max="264" width="12.140625" style="62" customWidth="1"/>
    <col min="265" max="265" width="12.85546875" style="62" customWidth="1"/>
    <col min="266" max="266" width="14.42578125" style="62" customWidth="1"/>
    <col min="267" max="267" width="12.7109375" style="62" customWidth="1"/>
    <col min="268" max="268" width="17.5703125" style="62" customWidth="1"/>
    <col min="269" max="269" width="12.5703125" style="62" customWidth="1"/>
    <col min="270" max="270" width="17" style="62" customWidth="1"/>
    <col min="271" max="271" width="13.140625" style="62" customWidth="1"/>
    <col min="272" max="276" width="14.7109375" style="62" customWidth="1"/>
    <col min="277" max="277" width="12.5703125" style="62" customWidth="1"/>
    <col min="278" max="278" width="9.85546875" style="62" customWidth="1"/>
    <col min="279" max="279" width="14.7109375" style="62" customWidth="1"/>
    <col min="280" max="280" width="19.140625" style="62" customWidth="1"/>
    <col min="281" max="281" width="20.28515625" style="62" customWidth="1"/>
    <col min="282" max="282" width="13" style="62" customWidth="1"/>
    <col min="283" max="512" width="9.140625" style="62"/>
    <col min="513" max="513" width="17.85546875" style="62" customWidth="1"/>
    <col min="514" max="514" width="16.85546875" style="62" customWidth="1"/>
    <col min="515" max="515" width="14.5703125" style="62" customWidth="1"/>
    <col min="516" max="517" width="15.85546875" style="62" customWidth="1"/>
    <col min="518" max="518" width="17.140625" style="62" customWidth="1"/>
    <col min="519" max="519" width="13.140625" style="62" customWidth="1"/>
    <col min="520" max="520" width="12.140625" style="62" customWidth="1"/>
    <col min="521" max="521" width="12.85546875" style="62" customWidth="1"/>
    <col min="522" max="522" width="14.42578125" style="62" customWidth="1"/>
    <col min="523" max="523" width="12.7109375" style="62" customWidth="1"/>
    <col min="524" max="524" width="17.5703125" style="62" customWidth="1"/>
    <col min="525" max="525" width="12.5703125" style="62" customWidth="1"/>
    <col min="526" max="526" width="17" style="62" customWidth="1"/>
    <col min="527" max="527" width="13.140625" style="62" customWidth="1"/>
    <col min="528" max="532" width="14.7109375" style="62" customWidth="1"/>
    <col min="533" max="533" width="12.5703125" style="62" customWidth="1"/>
    <col min="534" max="534" width="9.85546875" style="62" customWidth="1"/>
    <col min="535" max="535" width="14.7109375" style="62" customWidth="1"/>
    <col min="536" max="536" width="19.140625" style="62" customWidth="1"/>
    <col min="537" max="537" width="20.28515625" style="62" customWidth="1"/>
    <col min="538" max="538" width="13" style="62" customWidth="1"/>
    <col min="539" max="768" width="9.140625" style="62"/>
    <col min="769" max="769" width="17.85546875" style="62" customWidth="1"/>
    <col min="770" max="770" width="16.85546875" style="62" customWidth="1"/>
    <col min="771" max="771" width="14.5703125" style="62" customWidth="1"/>
    <col min="772" max="773" width="15.85546875" style="62" customWidth="1"/>
    <col min="774" max="774" width="17.140625" style="62" customWidth="1"/>
    <col min="775" max="775" width="13.140625" style="62" customWidth="1"/>
    <col min="776" max="776" width="12.140625" style="62" customWidth="1"/>
    <col min="777" max="777" width="12.85546875" style="62" customWidth="1"/>
    <col min="778" max="778" width="14.42578125" style="62" customWidth="1"/>
    <col min="779" max="779" width="12.7109375" style="62" customWidth="1"/>
    <col min="780" max="780" width="17.5703125" style="62" customWidth="1"/>
    <col min="781" max="781" width="12.5703125" style="62" customWidth="1"/>
    <col min="782" max="782" width="17" style="62" customWidth="1"/>
    <col min="783" max="783" width="13.140625" style="62" customWidth="1"/>
    <col min="784" max="788" width="14.7109375" style="62" customWidth="1"/>
    <col min="789" max="789" width="12.5703125" style="62" customWidth="1"/>
    <col min="790" max="790" width="9.85546875" style="62" customWidth="1"/>
    <col min="791" max="791" width="14.7109375" style="62" customWidth="1"/>
    <col min="792" max="792" width="19.140625" style="62" customWidth="1"/>
    <col min="793" max="793" width="20.28515625" style="62" customWidth="1"/>
    <col min="794" max="794" width="13" style="62" customWidth="1"/>
    <col min="795" max="1024" width="9.140625" style="62"/>
    <col min="1025" max="1025" width="17.85546875" style="62" customWidth="1"/>
    <col min="1026" max="1026" width="16.85546875" style="62" customWidth="1"/>
    <col min="1027" max="1027" width="14.5703125" style="62" customWidth="1"/>
    <col min="1028" max="1029" width="15.85546875" style="62" customWidth="1"/>
    <col min="1030" max="1030" width="17.140625" style="62" customWidth="1"/>
    <col min="1031" max="1031" width="13.140625" style="62" customWidth="1"/>
    <col min="1032" max="1032" width="12.140625" style="62" customWidth="1"/>
    <col min="1033" max="1033" width="12.85546875" style="62" customWidth="1"/>
    <col min="1034" max="1034" width="14.42578125" style="62" customWidth="1"/>
    <col min="1035" max="1035" width="12.7109375" style="62" customWidth="1"/>
    <col min="1036" max="1036" width="17.5703125" style="62" customWidth="1"/>
    <col min="1037" max="1037" width="12.5703125" style="62" customWidth="1"/>
    <col min="1038" max="1038" width="17" style="62" customWidth="1"/>
    <col min="1039" max="1039" width="13.140625" style="62" customWidth="1"/>
    <col min="1040" max="1044" width="14.7109375" style="62" customWidth="1"/>
    <col min="1045" max="1045" width="12.5703125" style="62" customWidth="1"/>
    <col min="1046" max="1046" width="9.85546875" style="62" customWidth="1"/>
    <col min="1047" max="1047" width="14.7109375" style="62" customWidth="1"/>
    <col min="1048" max="1048" width="19.140625" style="62" customWidth="1"/>
    <col min="1049" max="1049" width="20.28515625" style="62" customWidth="1"/>
    <col min="1050" max="1050" width="13" style="62" customWidth="1"/>
    <col min="1051" max="1280" width="9.140625" style="62"/>
    <col min="1281" max="1281" width="17.85546875" style="62" customWidth="1"/>
    <col min="1282" max="1282" width="16.85546875" style="62" customWidth="1"/>
    <col min="1283" max="1283" width="14.5703125" style="62" customWidth="1"/>
    <col min="1284" max="1285" width="15.85546875" style="62" customWidth="1"/>
    <col min="1286" max="1286" width="17.140625" style="62" customWidth="1"/>
    <col min="1287" max="1287" width="13.140625" style="62" customWidth="1"/>
    <col min="1288" max="1288" width="12.140625" style="62" customWidth="1"/>
    <col min="1289" max="1289" width="12.85546875" style="62" customWidth="1"/>
    <col min="1290" max="1290" width="14.42578125" style="62" customWidth="1"/>
    <col min="1291" max="1291" width="12.7109375" style="62" customWidth="1"/>
    <col min="1292" max="1292" width="17.5703125" style="62" customWidth="1"/>
    <col min="1293" max="1293" width="12.5703125" style="62" customWidth="1"/>
    <col min="1294" max="1294" width="17" style="62" customWidth="1"/>
    <col min="1295" max="1295" width="13.140625" style="62" customWidth="1"/>
    <col min="1296" max="1300" width="14.7109375" style="62" customWidth="1"/>
    <col min="1301" max="1301" width="12.5703125" style="62" customWidth="1"/>
    <col min="1302" max="1302" width="9.85546875" style="62" customWidth="1"/>
    <col min="1303" max="1303" width="14.7109375" style="62" customWidth="1"/>
    <col min="1304" max="1304" width="19.140625" style="62" customWidth="1"/>
    <col min="1305" max="1305" width="20.28515625" style="62" customWidth="1"/>
    <col min="1306" max="1306" width="13" style="62" customWidth="1"/>
    <col min="1307" max="1536" width="9.140625" style="62"/>
    <col min="1537" max="1537" width="17.85546875" style="62" customWidth="1"/>
    <col min="1538" max="1538" width="16.85546875" style="62" customWidth="1"/>
    <col min="1539" max="1539" width="14.5703125" style="62" customWidth="1"/>
    <col min="1540" max="1541" width="15.85546875" style="62" customWidth="1"/>
    <col min="1542" max="1542" width="17.140625" style="62" customWidth="1"/>
    <col min="1543" max="1543" width="13.140625" style="62" customWidth="1"/>
    <col min="1544" max="1544" width="12.140625" style="62" customWidth="1"/>
    <col min="1545" max="1545" width="12.85546875" style="62" customWidth="1"/>
    <col min="1546" max="1546" width="14.42578125" style="62" customWidth="1"/>
    <col min="1547" max="1547" width="12.7109375" style="62" customWidth="1"/>
    <col min="1548" max="1548" width="17.5703125" style="62" customWidth="1"/>
    <col min="1549" max="1549" width="12.5703125" style="62" customWidth="1"/>
    <col min="1550" max="1550" width="17" style="62" customWidth="1"/>
    <col min="1551" max="1551" width="13.140625" style="62" customWidth="1"/>
    <col min="1552" max="1556" width="14.7109375" style="62" customWidth="1"/>
    <col min="1557" max="1557" width="12.5703125" style="62" customWidth="1"/>
    <col min="1558" max="1558" width="9.85546875" style="62" customWidth="1"/>
    <col min="1559" max="1559" width="14.7109375" style="62" customWidth="1"/>
    <col min="1560" max="1560" width="19.140625" style="62" customWidth="1"/>
    <col min="1561" max="1561" width="20.28515625" style="62" customWidth="1"/>
    <col min="1562" max="1562" width="13" style="62" customWidth="1"/>
    <col min="1563" max="1792" width="9.140625" style="62"/>
    <col min="1793" max="1793" width="17.85546875" style="62" customWidth="1"/>
    <col min="1794" max="1794" width="16.85546875" style="62" customWidth="1"/>
    <col min="1795" max="1795" width="14.5703125" style="62" customWidth="1"/>
    <col min="1796" max="1797" width="15.85546875" style="62" customWidth="1"/>
    <col min="1798" max="1798" width="17.140625" style="62" customWidth="1"/>
    <col min="1799" max="1799" width="13.140625" style="62" customWidth="1"/>
    <col min="1800" max="1800" width="12.140625" style="62" customWidth="1"/>
    <col min="1801" max="1801" width="12.85546875" style="62" customWidth="1"/>
    <col min="1802" max="1802" width="14.42578125" style="62" customWidth="1"/>
    <col min="1803" max="1803" width="12.7109375" style="62" customWidth="1"/>
    <col min="1804" max="1804" width="17.5703125" style="62" customWidth="1"/>
    <col min="1805" max="1805" width="12.5703125" style="62" customWidth="1"/>
    <col min="1806" max="1806" width="17" style="62" customWidth="1"/>
    <col min="1807" max="1807" width="13.140625" style="62" customWidth="1"/>
    <col min="1808" max="1812" width="14.7109375" style="62" customWidth="1"/>
    <col min="1813" max="1813" width="12.5703125" style="62" customWidth="1"/>
    <col min="1814" max="1814" width="9.85546875" style="62" customWidth="1"/>
    <col min="1815" max="1815" width="14.7109375" style="62" customWidth="1"/>
    <col min="1816" max="1816" width="19.140625" style="62" customWidth="1"/>
    <col min="1817" max="1817" width="20.28515625" style="62" customWidth="1"/>
    <col min="1818" max="1818" width="13" style="62" customWidth="1"/>
    <col min="1819" max="2048" width="9.140625" style="62"/>
    <col min="2049" max="2049" width="17.85546875" style="62" customWidth="1"/>
    <col min="2050" max="2050" width="16.85546875" style="62" customWidth="1"/>
    <col min="2051" max="2051" width="14.5703125" style="62" customWidth="1"/>
    <col min="2052" max="2053" width="15.85546875" style="62" customWidth="1"/>
    <col min="2054" max="2054" width="17.140625" style="62" customWidth="1"/>
    <col min="2055" max="2055" width="13.140625" style="62" customWidth="1"/>
    <col min="2056" max="2056" width="12.140625" style="62" customWidth="1"/>
    <col min="2057" max="2057" width="12.85546875" style="62" customWidth="1"/>
    <col min="2058" max="2058" width="14.42578125" style="62" customWidth="1"/>
    <col min="2059" max="2059" width="12.7109375" style="62" customWidth="1"/>
    <col min="2060" max="2060" width="17.5703125" style="62" customWidth="1"/>
    <col min="2061" max="2061" width="12.5703125" style="62" customWidth="1"/>
    <col min="2062" max="2062" width="17" style="62" customWidth="1"/>
    <col min="2063" max="2063" width="13.140625" style="62" customWidth="1"/>
    <col min="2064" max="2068" width="14.7109375" style="62" customWidth="1"/>
    <col min="2069" max="2069" width="12.5703125" style="62" customWidth="1"/>
    <col min="2070" max="2070" width="9.85546875" style="62" customWidth="1"/>
    <col min="2071" max="2071" width="14.7109375" style="62" customWidth="1"/>
    <col min="2072" max="2072" width="19.140625" style="62" customWidth="1"/>
    <col min="2073" max="2073" width="20.28515625" style="62" customWidth="1"/>
    <col min="2074" max="2074" width="13" style="62" customWidth="1"/>
    <col min="2075" max="2304" width="9.140625" style="62"/>
    <col min="2305" max="2305" width="17.85546875" style="62" customWidth="1"/>
    <col min="2306" max="2306" width="16.85546875" style="62" customWidth="1"/>
    <col min="2307" max="2307" width="14.5703125" style="62" customWidth="1"/>
    <col min="2308" max="2309" width="15.85546875" style="62" customWidth="1"/>
    <col min="2310" max="2310" width="17.140625" style="62" customWidth="1"/>
    <col min="2311" max="2311" width="13.140625" style="62" customWidth="1"/>
    <col min="2312" max="2312" width="12.140625" style="62" customWidth="1"/>
    <col min="2313" max="2313" width="12.85546875" style="62" customWidth="1"/>
    <col min="2314" max="2314" width="14.42578125" style="62" customWidth="1"/>
    <col min="2315" max="2315" width="12.7109375" style="62" customWidth="1"/>
    <col min="2316" max="2316" width="17.5703125" style="62" customWidth="1"/>
    <col min="2317" max="2317" width="12.5703125" style="62" customWidth="1"/>
    <col min="2318" max="2318" width="17" style="62" customWidth="1"/>
    <col min="2319" max="2319" width="13.140625" style="62" customWidth="1"/>
    <col min="2320" max="2324" width="14.7109375" style="62" customWidth="1"/>
    <col min="2325" max="2325" width="12.5703125" style="62" customWidth="1"/>
    <col min="2326" max="2326" width="9.85546875" style="62" customWidth="1"/>
    <col min="2327" max="2327" width="14.7109375" style="62" customWidth="1"/>
    <col min="2328" max="2328" width="19.140625" style="62" customWidth="1"/>
    <col min="2329" max="2329" width="20.28515625" style="62" customWidth="1"/>
    <col min="2330" max="2330" width="13" style="62" customWidth="1"/>
    <col min="2331" max="2560" width="9.140625" style="62"/>
    <col min="2561" max="2561" width="17.85546875" style="62" customWidth="1"/>
    <col min="2562" max="2562" width="16.85546875" style="62" customWidth="1"/>
    <col min="2563" max="2563" width="14.5703125" style="62" customWidth="1"/>
    <col min="2564" max="2565" width="15.85546875" style="62" customWidth="1"/>
    <col min="2566" max="2566" width="17.140625" style="62" customWidth="1"/>
    <col min="2567" max="2567" width="13.140625" style="62" customWidth="1"/>
    <col min="2568" max="2568" width="12.140625" style="62" customWidth="1"/>
    <col min="2569" max="2569" width="12.85546875" style="62" customWidth="1"/>
    <col min="2570" max="2570" width="14.42578125" style="62" customWidth="1"/>
    <col min="2571" max="2571" width="12.7109375" style="62" customWidth="1"/>
    <col min="2572" max="2572" width="17.5703125" style="62" customWidth="1"/>
    <col min="2573" max="2573" width="12.5703125" style="62" customWidth="1"/>
    <col min="2574" max="2574" width="17" style="62" customWidth="1"/>
    <col min="2575" max="2575" width="13.140625" style="62" customWidth="1"/>
    <col min="2576" max="2580" width="14.7109375" style="62" customWidth="1"/>
    <col min="2581" max="2581" width="12.5703125" style="62" customWidth="1"/>
    <col min="2582" max="2582" width="9.85546875" style="62" customWidth="1"/>
    <col min="2583" max="2583" width="14.7109375" style="62" customWidth="1"/>
    <col min="2584" max="2584" width="19.140625" style="62" customWidth="1"/>
    <col min="2585" max="2585" width="20.28515625" style="62" customWidth="1"/>
    <col min="2586" max="2586" width="13" style="62" customWidth="1"/>
    <col min="2587" max="2816" width="9.140625" style="62"/>
    <col min="2817" max="2817" width="17.85546875" style="62" customWidth="1"/>
    <col min="2818" max="2818" width="16.85546875" style="62" customWidth="1"/>
    <col min="2819" max="2819" width="14.5703125" style="62" customWidth="1"/>
    <col min="2820" max="2821" width="15.85546875" style="62" customWidth="1"/>
    <col min="2822" max="2822" width="17.140625" style="62" customWidth="1"/>
    <col min="2823" max="2823" width="13.140625" style="62" customWidth="1"/>
    <col min="2824" max="2824" width="12.140625" style="62" customWidth="1"/>
    <col min="2825" max="2825" width="12.85546875" style="62" customWidth="1"/>
    <col min="2826" max="2826" width="14.42578125" style="62" customWidth="1"/>
    <col min="2827" max="2827" width="12.7109375" style="62" customWidth="1"/>
    <col min="2828" max="2828" width="17.5703125" style="62" customWidth="1"/>
    <col min="2829" max="2829" width="12.5703125" style="62" customWidth="1"/>
    <col min="2830" max="2830" width="17" style="62" customWidth="1"/>
    <col min="2831" max="2831" width="13.140625" style="62" customWidth="1"/>
    <col min="2832" max="2836" width="14.7109375" style="62" customWidth="1"/>
    <col min="2837" max="2837" width="12.5703125" style="62" customWidth="1"/>
    <col min="2838" max="2838" width="9.85546875" style="62" customWidth="1"/>
    <col min="2839" max="2839" width="14.7109375" style="62" customWidth="1"/>
    <col min="2840" max="2840" width="19.140625" style="62" customWidth="1"/>
    <col min="2841" max="2841" width="20.28515625" style="62" customWidth="1"/>
    <col min="2842" max="2842" width="13" style="62" customWidth="1"/>
    <col min="2843" max="3072" width="9.140625" style="62"/>
    <col min="3073" max="3073" width="17.85546875" style="62" customWidth="1"/>
    <col min="3074" max="3074" width="16.85546875" style="62" customWidth="1"/>
    <col min="3075" max="3075" width="14.5703125" style="62" customWidth="1"/>
    <col min="3076" max="3077" width="15.85546875" style="62" customWidth="1"/>
    <col min="3078" max="3078" width="17.140625" style="62" customWidth="1"/>
    <col min="3079" max="3079" width="13.140625" style="62" customWidth="1"/>
    <col min="3080" max="3080" width="12.140625" style="62" customWidth="1"/>
    <col min="3081" max="3081" width="12.85546875" style="62" customWidth="1"/>
    <col min="3082" max="3082" width="14.42578125" style="62" customWidth="1"/>
    <col min="3083" max="3083" width="12.7109375" style="62" customWidth="1"/>
    <col min="3084" max="3084" width="17.5703125" style="62" customWidth="1"/>
    <col min="3085" max="3085" width="12.5703125" style="62" customWidth="1"/>
    <col min="3086" max="3086" width="17" style="62" customWidth="1"/>
    <col min="3087" max="3087" width="13.140625" style="62" customWidth="1"/>
    <col min="3088" max="3092" width="14.7109375" style="62" customWidth="1"/>
    <col min="3093" max="3093" width="12.5703125" style="62" customWidth="1"/>
    <col min="3094" max="3094" width="9.85546875" style="62" customWidth="1"/>
    <col min="3095" max="3095" width="14.7109375" style="62" customWidth="1"/>
    <col min="3096" max="3096" width="19.140625" style="62" customWidth="1"/>
    <col min="3097" max="3097" width="20.28515625" style="62" customWidth="1"/>
    <col min="3098" max="3098" width="13" style="62" customWidth="1"/>
    <col min="3099" max="3328" width="9.140625" style="62"/>
    <col min="3329" max="3329" width="17.85546875" style="62" customWidth="1"/>
    <col min="3330" max="3330" width="16.85546875" style="62" customWidth="1"/>
    <col min="3331" max="3331" width="14.5703125" style="62" customWidth="1"/>
    <col min="3332" max="3333" width="15.85546875" style="62" customWidth="1"/>
    <col min="3334" max="3334" width="17.140625" style="62" customWidth="1"/>
    <col min="3335" max="3335" width="13.140625" style="62" customWidth="1"/>
    <col min="3336" max="3336" width="12.140625" style="62" customWidth="1"/>
    <col min="3337" max="3337" width="12.85546875" style="62" customWidth="1"/>
    <col min="3338" max="3338" width="14.42578125" style="62" customWidth="1"/>
    <col min="3339" max="3339" width="12.7109375" style="62" customWidth="1"/>
    <col min="3340" max="3340" width="17.5703125" style="62" customWidth="1"/>
    <col min="3341" max="3341" width="12.5703125" style="62" customWidth="1"/>
    <col min="3342" max="3342" width="17" style="62" customWidth="1"/>
    <col min="3343" max="3343" width="13.140625" style="62" customWidth="1"/>
    <col min="3344" max="3348" width="14.7109375" style="62" customWidth="1"/>
    <col min="3349" max="3349" width="12.5703125" style="62" customWidth="1"/>
    <col min="3350" max="3350" width="9.85546875" style="62" customWidth="1"/>
    <col min="3351" max="3351" width="14.7109375" style="62" customWidth="1"/>
    <col min="3352" max="3352" width="19.140625" style="62" customWidth="1"/>
    <col min="3353" max="3353" width="20.28515625" style="62" customWidth="1"/>
    <col min="3354" max="3354" width="13" style="62" customWidth="1"/>
    <col min="3355" max="3584" width="9.140625" style="62"/>
    <col min="3585" max="3585" width="17.85546875" style="62" customWidth="1"/>
    <col min="3586" max="3586" width="16.85546875" style="62" customWidth="1"/>
    <col min="3587" max="3587" width="14.5703125" style="62" customWidth="1"/>
    <col min="3588" max="3589" width="15.85546875" style="62" customWidth="1"/>
    <col min="3590" max="3590" width="17.140625" style="62" customWidth="1"/>
    <col min="3591" max="3591" width="13.140625" style="62" customWidth="1"/>
    <col min="3592" max="3592" width="12.140625" style="62" customWidth="1"/>
    <col min="3593" max="3593" width="12.85546875" style="62" customWidth="1"/>
    <col min="3594" max="3594" width="14.42578125" style="62" customWidth="1"/>
    <col min="3595" max="3595" width="12.7109375" style="62" customWidth="1"/>
    <col min="3596" max="3596" width="17.5703125" style="62" customWidth="1"/>
    <col min="3597" max="3597" width="12.5703125" style="62" customWidth="1"/>
    <col min="3598" max="3598" width="17" style="62" customWidth="1"/>
    <col min="3599" max="3599" width="13.140625" style="62" customWidth="1"/>
    <col min="3600" max="3604" width="14.7109375" style="62" customWidth="1"/>
    <col min="3605" max="3605" width="12.5703125" style="62" customWidth="1"/>
    <col min="3606" max="3606" width="9.85546875" style="62" customWidth="1"/>
    <col min="3607" max="3607" width="14.7109375" style="62" customWidth="1"/>
    <col min="3608" max="3608" width="19.140625" style="62" customWidth="1"/>
    <col min="3609" max="3609" width="20.28515625" style="62" customWidth="1"/>
    <col min="3610" max="3610" width="13" style="62" customWidth="1"/>
    <col min="3611" max="3840" width="9.140625" style="62"/>
    <col min="3841" max="3841" width="17.85546875" style="62" customWidth="1"/>
    <col min="3842" max="3842" width="16.85546875" style="62" customWidth="1"/>
    <col min="3843" max="3843" width="14.5703125" style="62" customWidth="1"/>
    <col min="3844" max="3845" width="15.85546875" style="62" customWidth="1"/>
    <col min="3846" max="3846" width="17.140625" style="62" customWidth="1"/>
    <col min="3847" max="3847" width="13.140625" style="62" customWidth="1"/>
    <col min="3848" max="3848" width="12.140625" style="62" customWidth="1"/>
    <col min="3849" max="3849" width="12.85546875" style="62" customWidth="1"/>
    <col min="3850" max="3850" width="14.42578125" style="62" customWidth="1"/>
    <col min="3851" max="3851" width="12.7109375" style="62" customWidth="1"/>
    <col min="3852" max="3852" width="17.5703125" style="62" customWidth="1"/>
    <col min="3853" max="3853" width="12.5703125" style="62" customWidth="1"/>
    <col min="3854" max="3854" width="17" style="62" customWidth="1"/>
    <col min="3855" max="3855" width="13.140625" style="62" customWidth="1"/>
    <col min="3856" max="3860" width="14.7109375" style="62" customWidth="1"/>
    <col min="3861" max="3861" width="12.5703125" style="62" customWidth="1"/>
    <col min="3862" max="3862" width="9.85546875" style="62" customWidth="1"/>
    <col min="3863" max="3863" width="14.7109375" style="62" customWidth="1"/>
    <col min="3864" max="3864" width="19.140625" style="62" customWidth="1"/>
    <col min="3865" max="3865" width="20.28515625" style="62" customWidth="1"/>
    <col min="3866" max="3866" width="13" style="62" customWidth="1"/>
    <col min="3867" max="4096" width="9.140625" style="62"/>
    <col min="4097" max="4097" width="17.85546875" style="62" customWidth="1"/>
    <col min="4098" max="4098" width="16.85546875" style="62" customWidth="1"/>
    <col min="4099" max="4099" width="14.5703125" style="62" customWidth="1"/>
    <col min="4100" max="4101" width="15.85546875" style="62" customWidth="1"/>
    <col min="4102" max="4102" width="17.140625" style="62" customWidth="1"/>
    <col min="4103" max="4103" width="13.140625" style="62" customWidth="1"/>
    <col min="4104" max="4104" width="12.140625" style="62" customWidth="1"/>
    <col min="4105" max="4105" width="12.85546875" style="62" customWidth="1"/>
    <col min="4106" max="4106" width="14.42578125" style="62" customWidth="1"/>
    <col min="4107" max="4107" width="12.7109375" style="62" customWidth="1"/>
    <col min="4108" max="4108" width="17.5703125" style="62" customWidth="1"/>
    <col min="4109" max="4109" width="12.5703125" style="62" customWidth="1"/>
    <col min="4110" max="4110" width="17" style="62" customWidth="1"/>
    <col min="4111" max="4111" width="13.140625" style="62" customWidth="1"/>
    <col min="4112" max="4116" width="14.7109375" style="62" customWidth="1"/>
    <col min="4117" max="4117" width="12.5703125" style="62" customWidth="1"/>
    <col min="4118" max="4118" width="9.85546875" style="62" customWidth="1"/>
    <col min="4119" max="4119" width="14.7109375" style="62" customWidth="1"/>
    <col min="4120" max="4120" width="19.140625" style="62" customWidth="1"/>
    <col min="4121" max="4121" width="20.28515625" style="62" customWidth="1"/>
    <col min="4122" max="4122" width="13" style="62" customWidth="1"/>
    <col min="4123" max="4352" width="9.140625" style="62"/>
    <col min="4353" max="4353" width="17.85546875" style="62" customWidth="1"/>
    <col min="4354" max="4354" width="16.85546875" style="62" customWidth="1"/>
    <col min="4355" max="4355" width="14.5703125" style="62" customWidth="1"/>
    <col min="4356" max="4357" width="15.85546875" style="62" customWidth="1"/>
    <col min="4358" max="4358" width="17.140625" style="62" customWidth="1"/>
    <col min="4359" max="4359" width="13.140625" style="62" customWidth="1"/>
    <col min="4360" max="4360" width="12.140625" style="62" customWidth="1"/>
    <col min="4361" max="4361" width="12.85546875" style="62" customWidth="1"/>
    <col min="4362" max="4362" width="14.42578125" style="62" customWidth="1"/>
    <col min="4363" max="4363" width="12.7109375" style="62" customWidth="1"/>
    <col min="4364" max="4364" width="17.5703125" style="62" customWidth="1"/>
    <col min="4365" max="4365" width="12.5703125" style="62" customWidth="1"/>
    <col min="4366" max="4366" width="17" style="62" customWidth="1"/>
    <col min="4367" max="4367" width="13.140625" style="62" customWidth="1"/>
    <col min="4368" max="4372" width="14.7109375" style="62" customWidth="1"/>
    <col min="4373" max="4373" width="12.5703125" style="62" customWidth="1"/>
    <col min="4374" max="4374" width="9.85546875" style="62" customWidth="1"/>
    <col min="4375" max="4375" width="14.7109375" style="62" customWidth="1"/>
    <col min="4376" max="4376" width="19.140625" style="62" customWidth="1"/>
    <col min="4377" max="4377" width="20.28515625" style="62" customWidth="1"/>
    <col min="4378" max="4378" width="13" style="62" customWidth="1"/>
    <col min="4379" max="4608" width="9.140625" style="62"/>
    <col min="4609" max="4609" width="17.85546875" style="62" customWidth="1"/>
    <col min="4610" max="4610" width="16.85546875" style="62" customWidth="1"/>
    <col min="4611" max="4611" width="14.5703125" style="62" customWidth="1"/>
    <col min="4612" max="4613" width="15.85546875" style="62" customWidth="1"/>
    <col min="4614" max="4614" width="17.140625" style="62" customWidth="1"/>
    <col min="4615" max="4615" width="13.140625" style="62" customWidth="1"/>
    <col min="4616" max="4616" width="12.140625" style="62" customWidth="1"/>
    <col min="4617" max="4617" width="12.85546875" style="62" customWidth="1"/>
    <col min="4618" max="4618" width="14.42578125" style="62" customWidth="1"/>
    <col min="4619" max="4619" width="12.7109375" style="62" customWidth="1"/>
    <col min="4620" max="4620" width="17.5703125" style="62" customWidth="1"/>
    <col min="4621" max="4621" width="12.5703125" style="62" customWidth="1"/>
    <col min="4622" max="4622" width="17" style="62" customWidth="1"/>
    <col min="4623" max="4623" width="13.140625" style="62" customWidth="1"/>
    <col min="4624" max="4628" width="14.7109375" style="62" customWidth="1"/>
    <col min="4629" max="4629" width="12.5703125" style="62" customWidth="1"/>
    <col min="4630" max="4630" width="9.85546875" style="62" customWidth="1"/>
    <col min="4631" max="4631" width="14.7109375" style="62" customWidth="1"/>
    <col min="4632" max="4632" width="19.140625" style="62" customWidth="1"/>
    <col min="4633" max="4633" width="20.28515625" style="62" customWidth="1"/>
    <col min="4634" max="4634" width="13" style="62" customWidth="1"/>
    <col min="4635" max="4864" width="9.140625" style="62"/>
    <col min="4865" max="4865" width="17.85546875" style="62" customWidth="1"/>
    <col min="4866" max="4866" width="16.85546875" style="62" customWidth="1"/>
    <col min="4867" max="4867" width="14.5703125" style="62" customWidth="1"/>
    <col min="4868" max="4869" width="15.85546875" style="62" customWidth="1"/>
    <col min="4870" max="4870" width="17.140625" style="62" customWidth="1"/>
    <col min="4871" max="4871" width="13.140625" style="62" customWidth="1"/>
    <col min="4872" max="4872" width="12.140625" style="62" customWidth="1"/>
    <col min="4873" max="4873" width="12.85546875" style="62" customWidth="1"/>
    <col min="4874" max="4874" width="14.42578125" style="62" customWidth="1"/>
    <col min="4875" max="4875" width="12.7109375" style="62" customWidth="1"/>
    <col min="4876" max="4876" width="17.5703125" style="62" customWidth="1"/>
    <col min="4877" max="4877" width="12.5703125" style="62" customWidth="1"/>
    <col min="4878" max="4878" width="17" style="62" customWidth="1"/>
    <col min="4879" max="4879" width="13.140625" style="62" customWidth="1"/>
    <col min="4880" max="4884" width="14.7109375" style="62" customWidth="1"/>
    <col min="4885" max="4885" width="12.5703125" style="62" customWidth="1"/>
    <col min="4886" max="4886" width="9.85546875" style="62" customWidth="1"/>
    <col min="4887" max="4887" width="14.7109375" style="62" customWidth="1"/>
    <col min="4888" max="4888" width="19.140625" style="62" customWidth="1"/>
    <col min="4889" max="4889" width="20.28515625" style="62" customWidth="1"/>
    <col min="4890" max="4890" width="13" style="62" customWidth="1"/>
    <col min="4891" max="5120" width="9.140625" style="62"/>
    <col min="5121" max="5121" width="17.85546875" style="62" customWidth="1"/>
    <col min="5122" max="5122" width="16.85546875" style="62" customWidth="1"/>
    <col min="5123" max="5123" width="14.5703125" style="62" customWidth="1"/>
    <col min="5124" max="5125" width="15.85546875" style="62" customWidth="1"/>
    <col min="5126" max="5126" width="17.140625" style="62" customWidth="1"/>
    <col min="5127" max="5127" width="13.140625" style="62" customWidth="1"/>
    <col min="5128" max="5128" width="12.140625" style="62" customWidth="1"/>
    <col min="5129" max="5129" width="12.85546875" style="62" customWidth="1"/>
    <col min="5130" max="5130" width="14.42578125" style="62" customWidth="1"/>
    <col min="5131" max="5131" width="12.7109375" style="62" customWidth="1"/>
    <col min="5132" max="5132" width="17.5703125" style="62" customWidth="1"/>
    <col min="5133" max="5133" width="12.5703125" style="62" customWidth="1"/>
    <col min="5134" max="5134" width="17" style="62" customWidth="1"/>
    <col min="5135" max="5135" width="13.140625" style="62" customWidth="1"/>
    <col min="5136" max="5140" width="14.7109375" style="62" customWidth="1"/>
    <col min="5141" max="5141" width="12.5703125" style="62" customWidth="1"/>
    <col min="5142" max="5142" width="9.85546875" style="62" customWidth="1"/>
    <col min="5143" max="5143" width="14.7109375" style="62" customWidth="1"/>
    <col min="5144" max="5144" width="19.140625" style="62" customWidth="1"/>
    <col min="5145" max="5145" width="20.28515625" style="62" customWidth="1"/>
    <col min="5146" max="5146" width="13" style="62" customWidth="1"/>
    <col min="5147" max="5376" width="9.140625" style="62"/>
    <col min="5377" max="5377" width="17.85546875" style="62" customWidth="1"/>
    <col min="5378" max="5378" width="16.85546875" style="62" customWidth="1"/>
    <col min="5379" max="5379" width="14.5703125" style="62" customWidth="1"/>
    <col min="5380" max="5381" width="15.85546875" style="62" customWidth="1"/>
    <col min="5382" max="5382" width="17.140625" style="62" customWidth="1"/>
    <col min="5383" max="5383" width="13.140625" style="62" customWidth="1"/>
    <col min="5384" max="5384" width="12.140625" style="62" customWidth="1"/>
    <col min="5385" max="5385" width="12.85546875" style="62" customWidth="1"/>
    <col min="5386" max="5386" width="14.42578125" style="62" customWidth="1"/>
    <col min="5387" max="5387" width="12.7109375" style="62" customWidth="1"/>
    <col min="5388" max="5388" width="17.5703125" style="62" customWidth="1"/>
    <col min="5389" max="5389" width="12.5703125" style="62" customWidth="1"/>
    <col min="5390" max="5390" width="17" style="62" customWidth="1"/>
    <col min="5391" max="5391" width="13.140625" style="62" customWidth="1"/>
    <col min="5392" max="5396" width="14.7109375" style="62" customWidth="1"/>
    <col min="5397" max="5397" width="12.5703125" style="62" customWidth="1"/>
    <col min="5398" max="5398" width="9.85546875" style="62" customWidth="1"/>
    <col min="5399" max="5399" width="14.7109375" style="62" customWidth="1"/>
    <col min="5400" max="5400" width="19.140625" style="62" customWidth="1"/>
    <col min="5401" max="5401" width="20.28515625" style="62" customWidth="1"/>
    <col min="5402" max="5402" width="13" style="62" customWidth="1"/>
    <col min="5403" max="5632" width="9.140625" style="62"/>
    <col min="5633" max="5633" width="17.85546875" style="62" customWidth="1"/>
    <col min="5634" max="5634" width="16.85546875" style="62" customWidth="1"/>
    <col min="5635" max="5635" width="14.5703125" style="62" customWidth="1"/>
    <col min="5636" max="5637" width="15.85546875" style="62" customWidth="1"/>
    <col min="5638" max="5638" width="17.140625" style="62" customWidth="1"/>
    <col min="5639" max="5639" width="13.140625" style="62" customWidth="1"/>
    <col min="5640" max="5640" width="12.140625" style="62" customWidth="1"/>
    <col min="5641" max="5641" width="12.85546875" style="62" customWidth="1"/>
    <col min="5642" max="5642" width="14.42578125" style="62" customWidth="1"/>
    <col min="5643" max="5643" width="12.7109375" style="62" customWidth="1"/>
    <col min="5644" max="5644" width="17.5703125" style="62" customWidth="1"/>
    <col min="5645" max="5645" width="12.5703125" style="62" customWidth="1"/>
    <col min="5646" max="5646" width="17" style="62" customWidth="1"/>
    <col min="5647" max="5647" width="13.140625" style="62" customWidth="1"/>
    <col min="5648" max="5652" width="14.7109375" style="62" customWidth="1"/>
    <col min="5653" max="5653" width="12.5703125" style="62" customWidth="1"/>
    <col min="5654" max="5654" width="9.85546875" style="62" customWidth="1"/>
    <col min="5655" max="5655" width="14.7109375" style="62" customWidth="1"/>
    <col min="5656" max="5656" width="19.140625" style="62" customWidth="1"/>
    <col min="5657" max="5657" width="20.28515625" style="62" customWidth="1"/>
    <col min="5658" max="5658" width="13" style="62" customWidth="1"/>
    <col min="5659" max="5888" width="9.140625" style="62"/>
    <col min="5889" max="5889" width="17.85546875" style="62" customWidth="1"/>
    <col min="5890" max="5890" width="16.85546875" style="62" customWidth="1"/>
    <col min="5891" max="5891" width="14.5703125" style="62" customWidth="1"/>
    <col min="5892" max="5893" width="15.85546875" style="62" customWidth="1"/>
    <col min="5894" max="5894" width="17.140625" style="62" customWidth="1"/>
    <col min="5895" max="5895" width="13.140625" style="62" customWidth="1"/>
    <col min="5896" max="5896" width="12.140625" style="62" customWidth="1"/>
    <col min="5897" max="5897" width="12.85546875" style="62" customWidth="1"/>
    <col min="5898" max="5898" width="14.42578125" style="62" customWidth="1"/>
    <col min="5899" max="5899" width="12.7109375" style="62" customWidth="1"/>
    <col min="5900" max="5900" width="17.5703125" style="62" customWidth="1"/>
    <col min="5901" max="5901" width="12.5703125" style="62" customWidth="1"/>
    <col min="5902" max="5902" width="17" style="62" customWidth="1"/>
    <col min="5903" max="5903" width="13.140625" style="62" customWidth="1"/>
    <col min="5904" max="5908" width="14.7109375" style="62" customWidth="1"/>
    <col min="5909" max="5909" width="12.5703125" style="62" customWidth="1"/>
    <col min="5910" max="5910" width="9.85546875" style="62" customWidth="1"/>
    <col min="5911" max="5911" width="14.7109375" style="62" customWidth="1"/>
    <col min="5912" max="5912" width="19.140625" style="62" customWidth="1"/>
    <col min="5913" max="5913" width="20.28515625" style="62" customWidth="1"/>
    <col min="5914" max="5914" width="13" style="62" customWidth="1"/>
    <col min="5915" max="6144" width="9.140625" style="62"/>
    <col min="6145" max="6145" width="17.85546875" style="62" customWidth="1"/>
    <col min="6146" max="6146" width="16.85546875" style="62" customWidth="1"/>
    <col min="6147" max="6147" width="14.5703125" style="62" customWidth="1"/>
    <col min="6148" max="6149" width="15.85546875" style="62" customWidth="1"/>
    <col min="6150" max="6150" width="17.140625" style="62" customWidth="1"/>
    <col min="6151" max="6151" width="13.140625" style="62" customWidth="1"/>
    <col min="6152" max="6152" width="12.140625" style="62" customWidth="1"/>
    <col min="6153" max="6153" width="12.85546875" style="62" customWidth="1"/>
    <col min="6154" max="6154" width="14.42578125" style="62" customWidth="1"/>
    <col min="6155" max="6155" width="12.7109375" style="62" customWidth="1"/>
    <col min="6156" max="6156" width="17.5703125" style="62" customWidth="1"/>
    <col min="6157" max="6157" width="12.5703125" style="62" customWidth="1"/>
    <col min="6158" max="6158" width="17" style="62" customWidth="1"/>
    <col min="6159" max="6159" width="13.140625" style="62" customWidth="1"/>
    <col min="6160" max="6164" width="14.7109375" style="62" customWidth="1"/>
    <col min="6165" max="6165" width="12.5703125" style="62" customWidth="1"/>
    <col min="6166" max="6166" width="9.85546875" style="62" customWidth="1"/>
    <col min="6167" max="6167" width="14.7109375" style="62" customWidth="1"/>
    <col min="6168" max="6168" width="19.140625" style="62" customWidth="1"/>
    <col min="6169" max="6169" width="20.28515625" style="62" customWidth="1"/>
    <col min="6170" max="6170" width="13" style="62" customWidth="1"/>
    <col min="6171" max="6400" width="9.140625" style="62"/>
    <col min="6401" max="6401" width="17.85546875" style="62" customWidth="1"/>
    <col min="6402" max="6402" width="16.85546875" style="62" customWidth="1"/>
    <col min="6403" max="6403" width="14.5703125" style="62" customWidth="1"/>
    <col min="6404" max="6405" width="15.85546875" style="62" customWidth="1"/>
    <col min="6406" max="6406" width="17.140625" style="62" customWidth="1"/>
    <col min="6407" max="6407" width="13.140625" style="62" customWidth="1"/>
    <col min="6408" max="6408" width="12.140625" style="62" customWidth="1"/>
    <col min="6409" max="6409" width="12.85546875" style="62" customWidth="1"/>
    <col min="6410" max="6410" width="14.42578125" style="62" customWidth="1"/>
    <col min="6411" max="6411" width="12.7109375" style="62" customWidth="1"/>
    <col min="6412" max="6412" width="17.5703125" style="62" customWidth="1"/>
    <col min="6413" max="6413" width="12.5703125" style="62" customWidth="1"/>
    <col min="6414" max="6414" width="17" style="62" customWidth="1"/>
    <col min="6415" max="6415" width="13.140625" style="62" customWidth="1"/>
    <col min="6416" max="6420" width="14.7109375" style="62" customWidth="1"/>
    <col min="6421" max="6421" width="12.5703125" style="62" customWidth="1"/>
    <col min="6422" max="6422" width="9.85546875" style="62" customWidth="1"/>
    <col min="6423" max="6423" width="14.7109375" style="62" customWidth="1"/>
    <col min="6424" max="6424" width="19.140625" style="62" customWidth="1"/>
    <col min="6425" max="6425" width="20.28515625" style="62" customWidth="1"/>
    <col min="6426" max="6426" width="13" style="62" customWidth="1"/>
    <col min="6427" max="6656" width="9.140625" style="62"/>
    <col min="6657" max="6657" width="17.85546875" style="62" customWidth="1"/>
    <col min="6658" max="6658" width="16.85546875" style="62" customWidth="1"/>
    <col min="6659" max="6659" width="14.5703125" style="62" customWidth="1"/>
    <col min="6660" max="6661" width="15.85546875" style="62" customWidth="1"/>
    <col min="6662" max="6662" width="17.140625" style="62" customWidth="1"/>
    <col min="6663" max="6663" width="13.140625" style="62" customWidth="1"/>
    <col min="6664" max="6664" width="12.140625" style="62" customWidth="1"/>
    <col min="6665" max="6665" width="12.85546875" style="62" customWidth="1"/>
    <col min="6666" max="6666" width="14.42578125" style="62" customWidth="1"/>
    <col min="6667" max="6667" width="12.7109375" style="62" customWidth="1"/>
    <col min="6668" max="6668" width="17.5703125" style="62" customWidth="1"/>
    <col min="6669" max="6669" width="12.5703125" style="62" customWidth="1"/>
    <col min="6670" max="6670" width="17" style="62" customWidth="1"/>
    <col min="6671" max="6671" width="13.140625" style="62" customWidth="1"/>
    <col min="6672" max="6676" width="14.7109375" style="62" customWidth="1"/>
    <col min="6677" max="6677" width="12.5703125" style="62" customWidth="1"/>
    <col min="6678" max="6678" width="9.85546875" style="62" customWidth="1"/>
    <col min="6679" max="6679" width="14.7109375" style="62" customWidth="1"/>
    <col min="6680" max="6680" width="19.140625" style="62" customWidth="1"/>
    <col min="6681" max="6681" width="20.28515625" style="62" customWidth="1"/>
    <col min="6682" max="6682" width="13" style="62" customWidth="1"/>
    <col min="6683" max="6912" width="9.140625" style="62"/>
    <col min="6913" max="6913" width="17.85546875" style="62" customWidth="1"/>
    <col min="6914" max="6914" width="16.85546875" style="62" customWidth="1"/>
    <col min="6915" max="6915" width="14.5703125" style="62" customWidth="1"/>
    <col min="6916" max="6917" width="15.85546875" style="62" customWidth="1"/>
    <col min="6918" max="6918" width="17.140625" style="62" customWidth="1"/>
    <col min="6919" max="6919" width="13.140625" style="62" customWidth="1"/>
    <col min="6920" max="6920" width="12.140625" style="62" customWidth="1"/>
    <col min="6921" max="6921" width="12.85546875" style="62" customWidth="1"/>
    <col min="6922" max="6922" width="14.42578125" style="62" customWidth="1"/>
    <col min="6923" max="6923" width="12.7109375" style="62" customWidth="1"/>
    <col min="6924" max="6924" width="17.5703125" style="62" customWidth="1"/>
    <col min="6925" max="6925" width="12.5703125" style="62" customWidth="1"/>
    <col min="6926" max="6926" width="17" style="62" customWidth="1"/>
    <col min="6927" max="6927" width="13.140625" style="62" customWidth="1"/>
    <col min="6928" max="6932" width="14.7109375" style="62" customWidth="1"/>
    <col min="6933" max="6933" width="12.5703125" style="62" customWidth="1"/>
    <col min="6934" max="6934" width="9.85546875" style="62" customWidth="1"/>
    <col min="6935" max="6935" width="14.7109375" style="62" customWidth="1"/>
    <col min="6936" max="6936" width="19.140625" style="62" customWidth="1"/>
    <col min="6937" max="6937" width="20.28515625" style="62" customWidth="1"/>
    <col min="6938" max="6938" width="13" style="62" customWidth="1"/>
    <col min="6939" max="7168" width="9.140625" style="62"/>
    <col min="7169" max="7169" width="17.85546875" style="62" customWidth="1"/>
    <col min="7170" max="7170" width="16.85546875" style="62" customWidth="1"/>
    <col min="7171" max="7171" width="14.5703125" style="62" customWidth="1"/>
    <col min="7172" max="7173" width="15.85546875" style="62" customWidth="1"/>
    <col min="7174" max="7174" width="17.140625" style="62" customWidth="1"/>
    <col min="7175" max="7175" width="13.140625" style="62" customWidth="1"/>
    <col min="7176" max="7176" width="12.140625" style="62" customWidth="1"/>
    <col min="7177" max="7177" width="12.85546875" style="62" customWidth="1"/>
    <col min="7178" max="7178" width="14.42578125" style="62" customWidth="1"/>
    <col min="7179" max="7179" width="12.7109375" style="62" customWidth="1"/>
    <col min="7180" max="7180" width="17.5703125" style="62" customWidth="1"/>
    <col min="7181" max="7181" width="12.5703125" style="62" customWidth="1"/>
    <col min="7182" max="7182" width="17" style="62" customWidth="1"/>
    <col min="7183" max="7183" width="13.140625" style="62" customWidth="1"/>
    <col min="7184" max="7188" width="14.7109375" style="62" customWidth="1"/>
    <col min="7189" max="7189" width="12.5703125" style="62" customWidth="1"/>
    <col min="7190" max="7190" width="9.85546875" style="62" customWidth="1"/>
    <col min="7191" max="7191" width="14.7109375" style="62" customWidth="1"/>
    <col min="7192" max="7192" width="19.140625" style="62" customWidth="1"/>
    <col min="7193" max="7193" width="20.28515625" style="62" customWidth="1"/>
    <col min="7194" max="7194" width="13" style="62" customWidth="1"/>
    <col min="7195" max="7424" width="9.140625" style="62"/>
    <col min="7425" max="7425" width="17.85546875" style="62" customWidth="1"/>
    <col min="7426" max="7426" width="16.85546875" style="62" customWidth="1"/>
    <col min="7427" max="7427" width="14.5703125" style="62" customWidth="1"/>
    <col min="7428" max="7429" width="15.85546875" style="62" customWidth="1"/>
    <col min="7430" max="7430" width="17.140625" style="62" customWidth="1"/>
    <col min="7431" max="7431" width="13.140625" style="62" customWidth="1"/>
    <col min="7432" max="7432" width="12.140625" style="62" customWidth="1"/>
    <col min="7433" max="7433" width="12.85546875" style="62" customWidth="1"/>
    <col min="7434" max="7434" width="14.42578125" style="62" customWidth="1"/>
    <col min="7435" max="7435" width="12.7109375" style="62" customWidth="1"/>
    <col min="7436" max="7436" width="17.5703125" style="62" customWidth="1"/>
    <col min="7437" max="7437" width="12.5703125" style="62" customWidth="1"/>
    <col min="7438" max="7438" width="17" style="62" customWidth="1"/>
    <col min="7439" max="7439" width="13.140625" style="62" customWidth="1"/>
    <col min="7440" max="7444" width="14.7109375" style="62" customWidth="1"/>
    <col min="7445" max="7445" width="12.5703125" style="62" customWidth="1"/>
    <col min="7446" max="7446" width="9.85546875" style="62" customWidth="1"/>
    <col min="7447" max="7447" width="14.7109375" style="62" customWidth="1"/>
    <col min="7448" max="7448" width="19.140625" style="62" customWidth="1"/>
    <col min="7449" max="7449" width="20.28515625" style="62" customWidth="1"/>
    <col min="7450" max="7450" width="13" style="62" customWidth="1"/>
    <col min="7451" max="7680" width="9.140625" style="62"/>
    <col min="7681" max="7681" width="17.85546875" style="62" customWidth="1"/>
    <col min="7682" max="7682" width="16.85546875" style="62" customWidth="1"/>
    <col min="7683" max="7683" width="14.5703125" style="62" customWidth="1"/>
    <col min="7684" max="7685" width="15.85546875" style="62" customWidth="1"/>
    <col min="7686" max="7686" width="17.140625" style="62" customWidth="1"/>
    <col min="7687" max="7687" width="13.140625" style="62" customWidth="1"/>
    <col min="7688" max="7688" width="12.140625" style="62" customWidth="1"/>
    <col min="7689" max="7689" width="12.85546875" style="62" customWidth="1"/>
    <col min="7690" max="7690" width="14.42578125" style="62" customWidth="1"/>
    <col min="7691" max="7691" width="12.7109375" style="62" customWidth="1"/>
    <col min="7692" max="7692" width="17.5703125" style="62" customWidth="1"/>
    <col min="7693" max="7693" width="12.5703125" style="62" customWidth="1"/>
    <col min="7694" max="7694" width="17" style="62" customWidth="1"/>
    <col min="7695" max="7695" width="13.140625" style="62" customWidth="1"/>
    <col min="7696" max="7700" width="14.7109375" style="62" customWidth="1"/>
    <col min="7701" max="7701" width="12.5703125" style="62" customWidth="1"/>
    <col min="7702" max="7702" width="9.85546875" style="62" customWidth="1"/>
    <col min="7703" max="7703" width="14.7109375" style="62" customWidth="1"/>
    <col min="7704" max="7704" width="19.140625" style="62" customWidth="1"/>
    <col min="7705" max="7705" width="20.28515625" style="62" customWidth="1"/>
    <col min="7706" max="7706" width="13" style="62" customWidth="1"/>
    <col min="7707" max="7936" width="9.140625" style="62"/>
    <col min="7937" max="7937" width="17.85546875" style="62" customWidth="1"/>
    <col min="7938" max="7938" width="16.85546875" style="62" customWidth="1"/>
    <col min="7939" max="7939" width="14.5703125" style="62" customWidth="1"/>
    <col min="7940" max="7941" width="15.85546875" style="62" customWidth="1"/>
    <col min="7942" max="7942" width="17.140625" style="62" customWidth="1"/>
    <col min="7943" max="7943" width="13.140625" style="62" customWidth="1"/>
    <col min="7944" max="7944" width="12.140625" style="62" customWidth="1"/>
    <col min="7945" max="7945" width="12.85546875" style="62" customWidth="1"/>
    <col min="7946" max="7946" width="14.42578125" style="62" customWidth="1"/>
    <col min="7947" max="7947" width="12.7109375" style="62" customWidth="1"/>
    <col min="7948" max="7948" width="17.5703125" style="62" customWidth="1"/>
    <col min="7949" max="7949" width="12.5703125" style="62" customWidth="1"/>
    <col min="7950" max="7950" width="17" style="62" customWidth="1"/>
    <col min="7951" max="7951" width="13.140625" style="62" customWidth="1"/>
    <col min="7952" max="7956" width="14.7109375" style="62" customWidth="1"/>
    <col min="7957" max="7957" width="12.5703125" style="62" customWidth="1"/>
    <col min="7958" max="7958" width="9.85546875" style="62" customWidth="1"/>
    <col min="7959" max="7959" width="14.7109375" style="62" customWidth="1"/>
    <col min="7960" max="7960" width="19.140625" style="62" customWidth="1"/>
    <col min="7961" max="7961" width="20.28515625" style="62" customWidth="1"/>
    <col min="7962" max="7962" width="13" style="62" customWidth="1"/>
    <col min="7963" max="8192" width="9.140625" style="62"/>
    <col min="8193" max="8193" width="17.85546875" style="62" customWidth="1"/>
    <col min="8194" max="8194" width="16.85546875" style="62" customWidth="1"/>
    <col min="8195" max="8195" width="14.5703125" style="62" customWidth="1"/>
    <col min="8196" max="8197" width="15.85546875" style="62" customWidth="1"/>
    <col min="8198" max="8198" width="17.140625" style="62" customWidth="1"/>
    <col min="8199" max="8199" width="13.140625" style="62" customWidth="1"/>
    <col min="8200" max="8200" width="12.140625" style="62" customWidth="1"/>
    <col min="8201" max="8201" width="12.85546875" style="62" customWidth="1"/>
    <col min="8202" max="8202" width="14.42578125" style="62" customWidth="1"/>
    <col min="8203" max="8203" width="12.7109375" style="62" customWidth="1"/>
    <col min="8204" max="8204" width="17.5703125" style="62" customWidth="1"/>
    <col min="8205" max="8205" width="12.5703125" style="62" customWidth="1"/>
    <col min="8206" max="8206" width="17" style="62" customWidth="1"/>
    <col min="8207" max="8207" width="13.140625" style="62" customWidth="1"/>
    <col min="8208" max="8212" width="14.7109375" style="62" customWidth="1"/>
    <col min="8213" max="8213" width="12.5703125" style="62" customWidth="1"/>
    <col min="8214" max="8214" width="9.85546875" style="62" customWidth="1"/>
    <col min="8215" max="8215" width="14.7109375" style="62" customWidth="1"/>
    <col min="8216" max="8216" width="19.140625" style="62" customWidth="1"/>
    <col min="8217" max="8217" width="20.28515625" style="62" customWidth="1"/>
    <col min="8218" max="8218" width="13" style="62" customWidth="1"/>
    <col min="8219" max="8448" width="9.140625" style="62"/>
    <col min="8449" max="8449" width="17.85546875" style="62" customWidth="1"/>
    <col min="8450" max="8450" width="16.85546875" style="62" customWidth="1"/>
    <col min="8451" max="8451" width="14.5703125" style="62" customWidth="1"/>
    <col min="8452" max="8453" width="15.85546875" style="62" customWidth="1"/>
    <col min="8454" max="8454" width="17.140625" style="62" customWidth="1"/>
    <col min="8455" max="8455" width="13.140625" style="62" customWidth="1"/>
    <col min="8456" max="8456" width="12.140625" style="62" customWidth="1"/>
    <col min="8457" max="8457" width="12.85546875" style="62" customWidth="1"/>
    <col min="8458" max="8458" width="14.42578125" style="62" customWidth="1"/>
    <col min="8459" max="8459" width="12.7109375" style="62" customWidth="1"/>
    <col min="8460" max="8460" width="17.5703125" style="62" customWidth="1"/>
    <col min="8461" max="8461" width="12.5703125" style="62" customWidth="1"/>
    <col min="8462" max="8462" width="17" style="62" customWidth="1"/>
    <col min="8463" max="8463" width="13.140625" style="62" customWidth="1"/>
    <col min="8464" max="8468" width="14.7109375" style="62" customWidth="1"/>
    <col min="8469" max="8469" width="12.5703125" style="62" customWidth="1"/>
    <col min="8470" max="8470" width="9.85546875" style="62" customWidth="1"/>
    <col min="8471" max="8471" width="14.7109375" style="62" customWidth="1"/>
    <col min="8472" max="8472" width="19.140625" style="62" customWidth="1"/>
    <col min="8473" max="8473" width="20.28515625" style="62" customWidth="1"/>
    <col min="8474" max="8474" width="13" style="62" customWidth="1"/>
    <col min="8475" max="8704" width="9.140625" style="62"/>
    <col min="8705" max="8705" width="17.85546875" style="62" customWidth="1"/>
    <col min="8706" max="8706" width="16.85546875" style="62" customWidth="1"/>
    <col min="8707" max="8707" width="14.5703125" style="62" customWidth="1"/>
    <col min="8708" max="8709" width="15.85546875" style="62" customWidth="1"/>
    <col min="8710" max="8710" width="17.140625" style="62" customWidth="1"/>
    <col min="8711" max="8711" width="13.140625" style="62" customWidth="1"/>
    <col min="8712" max="8712" width="12.140625" style="62" customWidth="1"/>
    <col min="8713" max="8713" width="12.85546875" style="62" customWidth="1"/>
    <col min="8714" max="8714" width="14.42578125" style="62" customWidth="1"/>
    <col min="8715" max="8715" width="12.7109375" style="62" customWidth="1"/>
    <col min="8716" max="8716" width="17.5703125" style="62" customWidth="1"/>
    <col min="8717" max="8717" width="12.5703125" style="62" customWidth="1"/>
    <col min="8718" max="8718" width="17" style="62" customWidth="1"/>
    <col min="8719" max="8719" width="13.140625" style="62" customWidth="1"/>
    <col min="8720" max="8724" width="14.7109375" style="62" customWidth="1"/>
    <col min="8725" max="8725" width="12.5703125" style="62" customWidth="1"/>
    <col min="8726" max="8726" width="9.85546875" style="62" customWidth="1"/>
    <col min="8727" max="8727" width="14.7109375" style="62" customWidth="1"/>
    <col min="8728" max="8728" width="19.140625" style="62" customWidth="1"/>
    <col min="8729" max="8729" width="20.28515625" style="62" customWidth="1"/>
    <col min="8730" max="8730" width="13" style="62" customWidth="1"/>
    <col min="8731" max="8960" width="9.140625" style="62"/>
    <col min="8961" max="8961" width="17.85546875" style="62" customWidth="1"/>
    <col min="8962" max="8962" width="16.85546875" style="62" customWidth="1"/>
    <col min="8963" max="8963" width="14.5703125" style="62" customWidth="1"/>
    <col min="8964" max="8965" width="15.85546875" style="62" customWidth="1"/>
    <col min="8966" max="8966" width="17.140625" style="62" customWidth="1"/>
    <col min="8967" max="8967" width="13.140625" style="62" customWidth="1"/>
    <col min="8968" max="8968" width="12.140625" style="62" customWidth="1"/>
    <col min="8969" max="8969" width="12.85546875" style="62" customWidth="1"/>
    <col min="8970" max="8970" width="14.42578125" style="62" customWidth="1"/>
    <col min="8971" max="8971" width="12.7109375" style="62" customWidth="1"/>
    <col min="8972" max="8972" width="17.5703125" style="62" customWidth="1"/>
    <col min="8973" max="8973" width="12.5703125" style="62" customWidth="1"/>
    <col min="8974" max="8974" width="17" style="62" customWidth="1"/>
    <col min="8975" max="8975" width="13.140625" style="62" customWidth="1"/>
    <col min="8976" max="8980" width="14.7109375" style="62" customWidth="1"/>
    <col min="8981" max="8981" width="12.5703125" style="62" customWidth="1"/>
    <col min="8982" max="8982" width="9.85546875" style="62" customWidth="1"/>
    <col min="8983" max="8983" width="14.7109375" style="62" customWidth="1"/>
    <col min="8984" max="8984" width="19.140625" style="62" customWidth="1"/>
    <col min="8985" max="8985" width="20.28515625" style="62" customWidth="1"/>
    <col min="8986" max="8986" width="13" style="62" customWidth="1"/>
    <col min="8987" max="9216" width="9.140625" style="62"/>
    <col min="9217" max="9217" width="17.85546875" style="62" customWidth="1"/>
    <col min="9218" max="9218" width="16.85546875" style="62" customWidth="1"/>
    <col min="9219" max="9219" width="14.5703125" style="62" customWidth="1"/>
    <col min="9220" max="9221" width="15.85546875" style="62" customWidth="1"/>
    <col min="9222" max="9222" width="17.140625" style="62" customWidth="1"/>
    <col min="9223" max="9223" width="13.140625" style="62" customWidth="1"/>
    <col min="9224" max="9224" width="12.140625" style="62" customWidth="1"/>
    <col min="9225" max="9225" width="12.85546875" style="62" customWidth="1"/>
    <col min="9226" max="9226" width="14.42578125" style="62" customWidth="1"/>
    <col min="9227" max="9227" width="12.7109375" style="62" customWidth="1"/>
    <col min="9228" max="9228" width="17.5703125" style="62" customWidth="1"/>
    <col min="9229" max="9229" width="12.5703125" style="62" customWidth="1"/>
    <col min="9230" max="9230" width="17" style="62" customWidth="1"/>
    <col min="9231" max="9231" width="13.140625" style="62" customWidth="1"/>
    <col min="9232" max="9236" width="14.7109375" style="62" customWidth="1"/>
    <col min="9237" max="9237" width="12.5703125" style="62" customWidth="1"/>
    <col min="9238" max="9238" width="9.85546875" style="62" customWidth="1"/>
    <col min="9239" max="9239" width="14.7109375" style="62" customWidth="1"/>
    <col min="9240" max="9240" width="19.140625" style="62" customWidth="1"/>
    <col min="9241" max="9241" width="20.28515625" style="62" customWidth="1"/>
    <col min="9242" max="9242" width="13" style="62" customWidth="1"/>
    <col min="9243" max="9472" width="9.140625" style="62"/>
    <col min="9473" max="9473" width="17.85546875" style="62" customWidth="1"/>
    <col min="9474" max="9474" width="16.85546875" style="62" customWidth="1"/>
    <col min="9475" max="9475" width="14.5703125" style="62" customWidth="1"/>
    <col min="9476" max="9477" width="15.85546875" style="62" customWidth="1"/>
    <col min="9478" max="9478" width="17.140625" style="62" customWidth="1"/>
    <col min="9479" max="9479" width="13.140625" style="62" customWidth="1"/>
    <col min="9480" max="9480" width="12.140625" style="62" customWidth="1"/>
    <col min="9481" max="9481" width="12.85546875" style="62" customWidth="1"/>
    <col min="9482" max="9482" width="14.42578125" style="62" customWidth="1"/>
    <col min="9483" max="9483" width="12.7109375" style="62" customWidth="1"/>
    <col min="9484" max="9484" width="17.5703125" style="62" customWidth="1"/>
    <col min="9485" max="9485" width="12.5703125" style="62" customWidth="1"/>
    <col min="9486" max="9486" width="17" style="62" customWidth="1"/>
    <col min="9487" max="9487" width="13.140625" style="62" customWidth="1"/>
    <col min="9488" max="9492" width="14.7109375" style="62" customWidth="1"/>
    <col min="9493" max="9493" width="12.5703125" style="62" customWidth="1"/>
    <col min="9494" max="9494" width="9.85546875" style="62" customWidth="1"/>
    <col min="9495" max="9495" width="14.7109375" style="62" customWidth="1"/>
    <col min="9496" max="9496" width="19.140625" style="62" customWidth="1"/>
    <col min="9497" max="9497" width="20.28515625" style="62" customWidth="1"/>
    <col min="9498" max="9498" width="13" style="62" customWidth="1"/>
    <col min="9499" max="9728" width="9.140625" style="62"/>
    <col min="9729" max="9729" width="17.85546875" style="62" customWidth="1"/>
    <col min="9730" max="9730" width="16.85546875" style="62" customWidth="1"/>
    <col min="9731" max="9731" width="14.5703125" style="62" customWidth="1"/>
    <col min="9732" max="9733" width="15.85546875" style="62" customWidth="1"/>
    <col min="9734" max="9734" width="17.140625" style="62" customWidth="1"/>
    <col min="9735" max="9735" width="13.140625" style="62" customWidth="1"/>
    <col min="9736" max="9736" width="12.140625" style="62" customWidth="1"/>
    <col min="9737" max="9737" width="12.85546875" style="62" customWidth="1"/>
    <col min="9738" max="9738" width="14.42578125" style="62" customWidth="1"/>
    <col min="9739" max="9739" width="12.7109375" style="62" customWidth="1"/>
    <col min="9740" max="9740" width="17.5703125" style="62" customWidth="1"/>
    <col min="9741" max="9741" width="12.5703125" style="62" customWidth="1"/>
    <col min="9742" max="9742" width="17" style="62" customWidth="1"/>
    <col min="9743" max="9743" width="13.140625" style="62" customWidth="1"/>
    <col min="9744" max="9748" width="14.7109375" style="62" customWidth="1"/>
    <col min="9749" max="9749" width="12.5703125" style="62" customWidth="1"/>
    <col min="9750" max="9750" width="9.85546875" style="62" customWidth="1"/>
    <col min="9751" max="9751" width="14.7109375" style="62" customWidth="1"/>
    <col min="9752" max="9752" width="19.140625" style="62" customWidth="1"/>
    <col min="9753" max="9753" width="20.28515625" style="62" customWidth="1"/>
    <col min="9754" max="9754" width="13" style="62" customWidth="1"/>
    <col min="9755" max="9984" width="9.140625" style="62"/>
    <col min="9985" max="9985" width="17.85546875" style="62" customWidth="1"/>
    <col min="9986" max="9986" width="16.85546875" style="62" customWidth="1"/>
    <col min="9987" max="9987" width="14.5703125" style="62" customWidth="1"/>
    <col min="9988" max="9989" width="15.85546875" style="62" customWidth="1"/>
    <col min="9990" max="9990" width="17.140625" style="62" customWidth="1"/>
    <col min="9991" max="9991" width="13.140625" style="62" customWidth="1"/>
    <col min="9992" max="9992" width="12.140625" style="62" customWidth="1"/>
    <col min="9993" max="9993" width="12.85546875" style="62" customWidth="1"/>
    <col min="9994" max="9994" width="14.42578125" style="62" customWidth="1"/>
    <col min="9995" max="9995" width="12.7109375" style="62" customWidth="1"/>
    <col min="9996" max="9996" width="17.5703125" style="62" customWidth="1"/>
    <col min="9997" max="9997" width="12.5703125" style="62" customWidth="1"/>
    <col min="9998" max="9998" width="17" style="62" customWidth="1"/>
    <col min="9999" max="9999" width="13.140625" style="62" customWidth="1"/>
    <col min="10000" max="10004" width="14.7109375" style="62" customWidth="1"/>
    <col min="10005" max="10005" width="12.5703125" style="62" customWidth="1"/>
    <col min="10006" max="10006" width="9.85546875" style="62" customWidth="1"/>
    <col min="10007" max="10007" width="14.7109375" style="62" customWidth="1"/>
    <col min="10008" max="10008" width="19.140625" style="62" customWidth="1"/>
    <col min="10009" max="10009" width="20.28515625" style="62" customWidth="1"/>
    <col min="10010" max="10010" width="13" style="62" customWidth="1"/>
    <col min="10011" max="10240" width="9.140625" style="62"/>
    <col min="10241" max="10241" width="17.85546875" style="62" customWidth="1"/>
    <col min="10242" max="10242" width="16.85546875" style="62" customWidth="1"/>
    <col min="10243" max="10243" width="14.5703125" style="62" customWidth="1"/>
    <col min="10244" max="10245" width="15.85546875" style="62" customWidth="1"/>
    <col min="10246" max="10246" width="17.140625" style="62" customWidth="1"/>
    <col min="10247" max="10247" width="13.140625" style="62" customWidth="1"/>
    <col min="10248" max="10248" width="12.140625" style="62" customWidth="1"/>
    <col min="10249" max="10249" width="12.85546875" style="62" customWidth="1"/>
    <col min="10250" max="10250" width="14.42578125" style="62" customWidth="1"/>
    <col min="10251" max="10251" width="12.7109375" style="62" customWidth="1"/>
    <col min="10252" max="10252" width="17.5703125" style="62" customWidth="1"/>
    <col min="10253" max="10253" width="12.5703125" style="62" customWidth="1"/>
    <col min="10254" max="10254" width="17" style="62" customWidth="1"/>
    <col min="10255" max="10255" width="13.140625" style="62" customWidth="1"/>
    <col min="10256" max="10260" width="14.7109375" style="62" customWidth="1"/>
    <col min="10261" max="10261" width="12.5703125" style="62" customWidth="1"/>
    <col min="10262" max="10262" width="9.85546875" style="62" customWidth="1"/>
    <col min="10263" max="10263" width="14.7109375" style="62" customWidth="1"/>
    <col min="10264" max="10264" width="19.140625" style="62" customWidth="1"/>
    <col min="10265" max="10265" width="20.28515625" style="62" customWidth="1"/>
    <col min="10266" max="10266" width="13" style="62" customWidth="1"/>
    <col min="10267" max="10496" width="9.140625" style="62"/>
    <col min="10497" max="10497" width="17.85546875" style="62" customWidth="1"/>
    <col min="10498" max="10498" width="16.85546875" style="62" customWidth="1"/>
    <col min="10499" max="10499" width="14.5703125" style="62" customWidth="1"/>
    <col min="10500" max="10501" width="15.85546875" style="62" customWidth="1"/>
    <col min="10502" max="10502" width="17.140625" style="62" customWidth="1"/>
    <col min="10503" max="10503" width="13.140625" style="62" customWidth="1"/>
    <col min="10504" max="10504" width="12.140625" style="62" customWidth="1"/>
    <col min="10505" max="10505" width="12.85546875" style="62" customWidth="1"/>
    <col min="10506" max="10506" width="14.42578125" style="62" customWidth="1"/>
    <col min="10507" max="10507" width="12.7109375" style="62" customWidth="1"/>
    <col min="10508" max="10508" width="17.5703125" style="62" customWidth="1"/>
    <col min="10509" max="10509" width="12.5703125" style="62" customWidth="1"/>
    <col min="10510" max="10510" width="17" style="62" customWidth="1"/>
    <col min="10511" max="10511" width="13.140625" style="62" customWidth="1"/>
    <col min="10512" max="10516" width="14.7109375" style="62" customWidth="1"/>
    <col min="10517" max="10517" width="12.5703125" style="62" customWidth="1"/>
    <col min="10518" max="10518" width="9.85546875" style="62" customWidth="1"/>
    <col min="10519" max="10519" width="14.7109375" style="62" customWidth="1"/>
    <col min="10520" max="10520" width="19.140625" style="62" customWidth="1"/>
    <col min="10521" max="10521" width="20.28515625" style="62" customWidth="1"/>
    <col min="10522" max="10522" width="13" style="62" customWidth="1"/>
    <col min="10523" max="10752" width="9.140625" style="62"/>
    <col min="10753" max="10753" width="17.85546875" style="62" customWidth="1"/>
    <col min="10754" max="10754" width="16.85546875" style="62" customWidth="1"/>
    <col min="10755" max="10755" width="14.5703125" style="62" customWidth="1"/>
    <col min="10756" max="10757" width="15.85546875" style="62" customWidth="1"/>
    <col min="10758" max="10758" width="17.140625" style="62" customWidth="1"/>
    <col min="10759" max="10759" width="13.140625" style="62" customWidth="1"/>
    <col min="10760" max="10760" width="12.140625" style="62" customWidth="1"/>
    <col min="10761" max="10761" width="12.85546875" style="62" customWidth="1"/>
    <col min="10762" max="10762" width="14.42578125" style="62" customWidth="1"/>
    <col min="10763" max="10763" width="12.7109375" style="62" customWidth="1"/>
    <col min="10764" max="10764" width="17.5703125" style="62" customWidth="1"/>
    <col min="10765" max="10765" width="12.5703125" style="62" customWidth="1"/>
    <col min="10766" max="10766" width="17" style="62" customWidth="1"/>
    <col min="10767" max="10767" width="13.140625" style="62" customWidth="1"/>
    <col min="10768" max="10772" width="14.7109375" style="62" customWidth="1"/>
    <col min="10773" max="10773" width="12.5703125" style="62" customWidth="1"/>
    <col min="10774" max="10774" width="9.85546875" style="62" customWidth="1"/>
    <col min="10775" max="10775" width="14.7109375" style="62" customWidth="1"/>
    <col min="10776" max="10776" width="19.140625" style="62" customWidth="1"/>
    <col min="10777" max="10777" width="20.28515625" style="62" customWidth="1"/>
    <col min="10778" max="10778" width="13" style="62" customWidth="1"/>
    <col min="10779" max="11008" width="9.140625" style="62"/>
    <col min="11009" max="11009" width="17.85546875" style="62" customWidth="1"/>
    <col min="11010" max="11010" width="16.85546875" style="62" customWidth="1"/>
    <col min="11011" max="11011" width="14.5703125" style="62" customWidth="1"/>
    <col min="11012" max="11013" width="15.85546875" style="62" customWidth="1"/>
    <col min="11014" max="11014" width="17.140625" style="62" customWidth="1"/>
    <col min="11015" max="11015" width="13.140625" style="62" customWidth="1"/>
    <col min="11016" max="11016" width="12.140625" style="62" customWidth="1"/>
    <col min="11017" max="11017" width="12.85546875" style="62" customWidth="1"/>
    <col min="11018" max="11018" width="14.42578125" style="62" customWidth="1"/>
    <col min="11019" max="11019" width="12.7109375" style="62" customWidth="1"/>
    <col min="11020" max="11020" width="17.5703125" style="62" customWidth="1"/>
    <col min="11021" max="11021" width="12.5703125" style="62" customWidth="1"/>
    <col min="11022" max="11022" width="17" style="62" customWidth="1"/>
    <col min="11023" max="11023" width="13.140625" style="62" customWidth="1"/>
    <col min="11024" max="11028" width="14.7109375" style="62" customWidth="1"/>
    <col min="11029" max="11029" width="12.5703125" style="62" customWidth="1"/>
    <col min="11030" max="11030" width="9.85546875" style="62" customWidth="1"/>
    <col min="11031" max="11031" width="14.7109375" style="62" customWidth="1"/>
    <col min="11032" max="11032" width="19.140625" style="62" customWidth="1"/>
    <col min="11033" max="11033" width="20.28515625" style="62" customWidth="1"/>
    <col min="11034" max="11034" width="13" style="62" customWidth="1"/>
    <col min="11035" max="11264" width="9.140625" style="62"/>
    <col min="11265" max="11265" width="17.85546875" style="62" customWidth="1"/>
    <col min="11266" max="11266" width="16.85546875" style="62" customWidth="1"/>
    <col min="11267" max="11267" width="14.5703125" style="62" customWidth="1"/>
    <col min="11268" max="11269" width="15.85546875" style="62" customWidth="1"/>
    <col min="11270" max="11270" width="17.140625" style="62" customWidth="1"/>
    <col min="11271" max="11271" width="13.140625" style="62" customWidth="1"/>
    <col min="11272" max="11272" width="12.140625" style="62" customWidth="1"/>
    <col min="11273" max="11273" width="12.85546875" style="62" customWidth="1"/>
    <col min="11274" max="11274" width="14.42578125" style="62" customWidth="1"/>
    <col min="11275" max="11275" width="12.7109375" style="62" customWidth="1"/>
    <col min="11276" max="11276" width="17.5703125" style="62" customWidth="1"/>
    <col min="11277" max="11277" width="12.5703125" style="62" customWidth="1"/>
    <col min="11278" max="11278" width="17" style="62" customWidth="1"/>
    <col min="11279" max="11279" width="13.140625" style="62" customWidth="1"/>
    <col min="11280" max="11284" width="14.7109375" style="62" customWidth="1"/>
    <col min="11285" max="11285" width="12.5703125" style="62" customWidth="1"/>
    <col min="11286" max="11286" width="9.85546875" style="62" customWidth="1"/>
    <col min="11287" max="11287" width="14.7109375" style="62" customWidth="1"/>
    <col min="11288" max="11288" width="19.140625" style="62" customWidth="1"/>
    <col min="11289" max="11289" width="20.28515625" style="62" customWidth="1"/>
    <col min="11290" max="11290" width="13" style="62" customWidth="1"/>
    <col min="11291" max="11520" width="9.140625" style="62"/>
    <col min="11521" max="11521" width="17.85546875" style="62" customWidth="1"/>
    <col min="11522" max="11522" width="16.85546875" style="62" customWidth="1"/>
    <col min="11523" max="11523" width="14.5703125" style="62" customWidth="1"/>
    <col min="11524" max="11525" width="15.85546875" style="62" customWidth="1"/>
    <col min="11526" max="11526" width="17.140625" style="62" customWidth="1"/>
    <col min="11527" max="11527" width="13.140625" style="62" customWidth="1"/>
    <col min="11528" max="11528" width="12.140625" style="62" customWidth="1"/>
    <col min="11529" max="11529" width="12.85546875" style="62" customWidth="1"/>
    <col min="11530" max="11530" width="14.42578125" style="62" customWidth="1"/>
    <col min="11531" max="11531" width="12.7109375" style="62" customWidth="1"/>
    <col min="11532" max="11532" width="17.5703125" style="62" customWidth="1"/>
    <col min="11533" max="11533" width="12.5703125" style="62" customWidth="1"/>
    <col min="11534" max="11534" width="17" style="62" customWidth="1"/>
    <col min="11535" max="11535" width="13.140625" style="62" customWidth="1"/>
    <col min="11536" max="11540" width="14.7109375" style="62" customWidth="1"/>
    <col min="11541" max="11541" width="12.5703125" style="62" customWidth="1"/>
    <col min="11542" max="11542" width="9.85546875" style="62" customWidth="1"/>
    <col min="11543" max="11543" width="14.7109375" style="62" customWidth="1"/>
    <col min="11544" max="11544" width="19.140625" style="62" customWidth="1"/>
    <col min="11545" max="11545" width="20.28515625" style="62" customWidth="1"/>
    <col min="11546" max="11546" width="13" style="62" customWidth="1"/>
    <col min="11547" max="11776" width="9.140625" style="62"/>
    <col min="11777" max="11777" width="17.85546875" style="62" customWidth="1"/>
    <col min="11778" max="11778" width="16.85546875" style="62" customWidth="1"/>
    <col min="11779" max="11779" width="14.5703125" style="62" customWidth="1"/>
    <col min="11780" max="11781" width="15.85546875" style="62" customWidth="1"/>
    <col min="11782" max="11782" width="17.140625" style="62" customWidth="1"/>
    <col min="11783" max="11783" width="13.140625" style="62" customWidth="1"/>
    <col min="11784" max="11784" width="12.140625" style="62" customWidth="1"/>
    <col min="11785" max="11785" width="12.85546875" style="62" customWidth="1"/>
    <col min="11786" max="11786" width="14.42578125" style="62" customWidth="1"/>
    <col min="11787" max="11787" width="12.7109375" style="62" customWidth="1"/>
    <col min="11788" max="11788" width="17.5703125" style="62" customWidth="1"/>
    <col min="11789" max="11789" width="12.5703125" style="62" customWidth="1"/>
    <col min="11790" max="11790" width="17" style="62" customWidth="1"/>
    <col min="11791" max="11791" width="13.140625" style="62" customWidth="1"/>
    <col min="11792" max="11796" width="14.7109375" style="62" customWidth="1"/>
    <col min="11797" max="11797" width="12.5703125" style="62" customWidth="1"/>
    <col min="11798" max="11798" width="9.85546875" style="62" customWidth="1"/>
    <col min="11799" max="11799" width="14.7109375" style="62" customWidth="1"/>
    <col min="11800" max="11800" width="19.140625" style="62" customWidth="1"/>
    <col min="11801" max="11801" width="20.28515625" style="62" customWidth="1"/>
    <col min="11802" max="11802" width="13" style="62" customWidth="1"/>
    <col min="11803" max="12032" width="9.140625" style="62"/>
    <col min="12033" max="12033" width="17.85546875" style="62" customWidth="1"/>
    <col min="12034" max="12034" width="16.85546875" style="62" customWidth="1"/>
    <col min="12035" max="12035" width="14.5703125" style="62" customWidth="1"/>
    <col min="12036" max="12037" width="15.85546875" style="62" customWidth="1"/>
    <col min="12038" max="12038" width="17.140625" style="62" customWidth="1"/>
    <col min="12039" max="12039" width="13.140625" style="62" customWidth="1"/>
    <col min="12040" max="12040" width="12.140625" style="62" customWidth="1"/>
    <col min="12041" max="12041" width="12.85546875" style="62" customWidth="1"/>
    <col min="12042" max="12042" width="14.42578125" style="62" customWidth="1"/>
    <col min="12043" max="12043" width="12.7109375" style="62" customWidth="1"/>
    <col min="12044" max="12044" width="17.5703125" style="62" customWidth="1"/>
    <col min="12045" max="12045" width="12.5703125" style="62" customWidth="1"/>
    <col min="12046" max="12046" width="17" style="62" customWidth="1"/>
    <col min="12047" max="12047" width="13.140625" style="62" customWidth="1"/>
    <col min="12048" max="12052" width="14.7109375" style="62" customWidth="1"/>
    <col min="12053" max="12053" width="12.5703125" style="62" customWidth="1"/>
    <col min="12054" max="12054" width="9.85546875" style="62" customWidth="1"/>
    <col min="12055" max="12055" width="14.7109375" style="62" customWidth="1"/>
    <col min="12056" max="12056" width="19.140625" style="62" customWidth="1"/>
    <col min="12057" max="12057" width="20.28515625" style="62" customWidth="1"/>
    <col min="12058" max="12058" width="13" style="62" customWidth="1"/>
    <col min="12059" max="12288" width="9.140625" style="62"/>
    <col min="12289" max="12289" width="17.85546875" style="62" customWidth="1"/>
    <col min="12290" max="12290" width="16.85546875" style="62" customWidth="1"/>
    <col min="12291" max="12291" width="14.5703125" style="62" customWidth="1"/>
    <col min="12292" max="12293" width="15.85546875" style="62" customWidth="1"/>
    <col min="12294" max="12294" width="17.140625" style="62" customWidth="1"/>
    <col min="12295" max="12295" width="13.140625" style="62" customWidth="1"/>
    <col min="12296" max="12296" width="12.140625" style="62" customWidth="1"/>
    <col min="12297" max="12297" width="12.85546875" style="62" customWidth="1"/>
    <col min="12298" max="12298" width="14.42578125" style="62" customWidth="1"/>
    <col min="12299" max="12299" width="12.7109375" style="62" customWidth="1"/>
    <col min="12300" max="12300" width="17.5703125" style="62" customWidth="1"/>
    <col min="12301" max="12301" width="12.5703125" style="62" customWidth="1"/>
    <col min="12302" max="12302" width="17" style="62" customWidth="1"/>
    <col min="12303" max="12303" width="13.140625" style="62" customWidth="1"/>
    <col min="12304" max="12308" width="14.7109375" style="62" customWidth="1"/>
    <col min="12309" max="12309" width="12.5703125" style="62" customWidth="1"/>
    <col min="12310" max="12310" width="9.85546875" style="62" customWidth="1"/>
    <col min="12311" max="12311" width="14.7109375" style="62" customWidth="1"/>
    <col min="12312" max="12312" width="19.140625" style="62" customWidth="1"/>
    <col min="12313" max="12313" width="20.28515625" style="62" customWidth="1"/>
    <col min="12314" max="12314" width="13" style="62" customWidth="1"/>
    <col min="12315" max="12544" width="9.140625" style="62"/>
    <col min="12545" max="12545" width="17.85546875" style="62" customWidth="1"/>
    <col min="12546" max="12546" width="16.85546875" style="62" customWidth="1"/>
    <col min="12547" max="12547" width="14.5703125" style="62" customWidth="1"/>
    <col min="12548" max="12549" width="15.85546875" style="62" customWidth="1"/>
    <col min="12550" max="12550" width="17.140625" style="62" customWidth="1"/>
    <col min="12551" max="12551" width="13.140625" style="62" customWidth="1"/>
    <col min="12552" max="12552" width="12.140625" style="62" customWidth="1"/>
    <col min="12553" max="12553" width="12.85546875" style="62" customWidth="1"/>
    <col min="12554" max="12554" width="14.42578125" style="62" customWidth="1"/>
    <col min="12555" max="12555" width="12.7109375" style="62" customWidth="1"/>
    <col min="12556" max="12556" width="17.5703125" style="62" customWidth="1"/>
    <col min="12557" max="12557" width="12.5703125" style="62" customWidth="1"/>
    <col min="12558" max="12558" width="17" style="62" customWidth="1"/>
    <col min="12559" max="12559" width="13.140625" style="62" customWidth="1"/>
    <col min="12560" max="12564" width="14.7109375" style="62" customWidth="1"/>
    <col min="12565" max="12565" width="12.5703125" style="62" customWidth="1"/>
    <col min="12566" max="12566" width="9.85546875" style="62" customWidth="1"/>
    <col min="12567" max="12567" width="14.7109375" style="62" customWidth="1"/>
    <col min="12568" max="12568" width="19.140625" style="62" customWidth="1"/>
    <col min="12569" max="12569" width="20.28515625" style="62" customWidth="1"/>
    <col min="12570" max="12570" width="13" style="62" customWidth="1"/>
    <col min="12571" max="12800" width="9.140625" style="62"/>
    <col min="12801" max="12801" width="17.85546875" style="62" customWidth="1"/>
    <col min="12802" max="12802" width="16.85546875" style="62" customWidth="1"/>
    <col min="12803" max="12803" width="14.5703125" style="62" customWidth="1"/>
    <col min="12804" max="12805" width="15.85546875" style="62" customWidth="1"/>
    <col min="12806" max="12806" width="17.140625" style="62" customWidth="1"/>
    <col min="12807" max="12807" width="13.140625" style="62" customWidth="1"/>
    <col min="12808" max="12808" width="12.140625" style="62" customWidth="1"/>
    <col min="12809" max="12809" width="12.85546875" style="62" customWidth="1"/>
    <col min="12810" max="12810" width="14.42578125" style="62" customWidth="1"/>
    <col min="12811" max="12811" width="12.7109375" style="62" customWidth="1"/>
    <col min="12812" max="12812" width="17.5703125" style="62" customWidth="1"/>
    <col min="12813" max="12813" width="12.5703125" style="62" customWidth="1"/>
    <col min="12814" max="12814" width="17" style="62" customWidth="1"/>
    <col min="12815" max="12815" width="13.140625" style="62" customWidth="1"/>
    <col min="12816" max="12820" width="14.7109375" style="62" customWidth="1"/>
    <col min="12821" max="12821" width="12.5703125" style="62" customWidth="1"/>
    <col min="12822" max="12822" width="9.85546875" style="62" customWidth="1"/>
    <col min="12823" max="12823" width="14.7109375" style="62" customWidth="1"/>
    <col min="12824" max="12824" width="19.140625" style="62" customWidth="1"/>
    <col min="12825" max="12825" width="20.28515625" style="62" customWidth="1"/>
    <col min="12826" max="12826" width="13" style="62" customWidth="1"/>
    <col min="12827" max="13056" width="9.140625" style="62"/>
    <col min="13057" max="13057" width="17.85546875" style="62" customWidth="1"/>
    <col min="13058" max="13058" width="16.85546875" style="62" customWidth="1"/>
    <col min="13059" max="13059" width="14.5703125" style="62" customWidth="1"/>
    <col min="13060" max="13061" width="15.85546875" style="62" customWidth="1"/>
    <col min="13062" max="13062" width="17.140625" style="62" customWidth="1"/>
    <col min="13063" max="13063" width="13.140625" style="62" customWidth="1"/>
    <col min="13064" max="13064" width="12.140625" style="62" customWidth="1"/>
    <col min="13065" max="13065" width="12.85546875" style="62" customWidth="1"/>
    <col min="13066" max="13066" width="14.42578125" style="62" customWidth="1"/>
    <col min="13067" max="13067" width="12.7109375" style="62" customWidth="1"/>
    <col min="13068" max="13068" width="17.5703125" style="62" customWidth="1"/>
    <col min="13069" max="13069" width="12.5703125" style="62" customWidth="1"/>
    <col min="13070" max="13070" width="17" style="62" customWidth="1"/>
    <col min="13071" max="13071" width="13.140625" style="62" customWidth="1"/>
    <col min="13072" max="13076" width="14.7109375" style="62" customWidth="1"/>
    <col min="13077" max="13077" width="12.5703125" style="62" customWidth="1"/>
    <col min="13078" max="13078" width="9.85546875" style="62" customWidth="1"/>
    <col min="13079" max="13079" width="14.7109375" style="62" customWidth="1"/>
    <col min="13080" max="13080" width="19.140625" style="62" customWidth="1"/>
    <col min="13081" max="13081" width="20.28515625" style="62" customWidth="1"/>
    <col min="13082" max="13082" width="13" style="62" customWidth="1"/>
    <col min="13083" max="13312" width="9.140625" style="62"/>
    <col min="13313" max="13313" width="17.85546875" style="62" customWidth="1"/>
    <col min="13314" max="13314" width="16.85546875" style="62" customWidth="1"/>
    <col min="13315" max="13315" width="14.5703125" style="62" customWidth="1"/>
    <col min="13316" max="13317" width="15.85546875" style="62" customWidth="1"/>
    <col min="13318" max="13318" width="17.140625" style="62" customWidth="1"/>
    <col min="13319" max="13319" width="13.140625" style="62" customWidth="1"/>
    <col min="13320" max="13320" width="12.140625" style="62" customWidth="1"/>
    <col min="13321" max="13321" width="12.85546875" style="62" customWidth="1"/>
    <col min="13322" max="13322" width="14.42578125" style="62" customWidth="1"/>
    <col min="13323" max="13323" width="12.7109375" style="62" customWidth="1"/>
    <col min="13324" max="13324" width="17.5703125" style="62" customWidth="1"/>
    <col min="13325" max="13325" width="12.5703125" style="62" customWidth="1"/>
    <col min="13326" max="13326" width="17" style="62" customWidth="1"/>
    <col min="13327" max="13327" width="13.140625" style="62" customWidth="1"/>
    <col min="13328" max="13332" width="14.7109375" style="62" customWidth="1"/>
    <col min="13333" max="13333" width="12.5703125" style="62" customWidth="1"/>
    <col min="13334" max="13334" width="9.85546875" style="62" customWidth="1"/>
    <col min="13335" max="13335" width="14.7109375" style="62" customWidth="1"/>
    <col min="13336" max="13336" width="19.140625" style="62" customWidth="1"/>
    <col min="13337" max="13337" width="20.28515625" style="62" customWidth="1"/>
    <col min="13338" max="13338" width="13" style="62" customWidth="1"/>
    <col min="13339" max="13568" width="9.140625" style="62"/>
    <col min="13569" max="13569" width="17.85546875" style="62" customWidth="1"/>
    <col min="13570" max="13570" width="16.85546875" style="62" customWidth="1"/>
    <col min="13571" max="13571" width="14.5703125" style="62" customWidth="1"/>
    <col min="13572" max="13573" width="15.85546875" style="62" customWidth="1"/>
    <col min="13574" max="13574" width="17.140625" style="62" customWidth="1"/>
    <col min="13575" max="13575" width="13.140625" style="62" customWidth="1"/>
    <col min="13576" max="13576" width="12.140625" style="62" customWidth="1"/>
    <col min="13577" max="13577" width="12.85546875" style="62" customWidth="1"/>
    <col min="13578" max="13578" width="14.42578125" style="62" customWidth="1"/>
    <col min="13579" max="13579" width="12.7109375" style="62" customWidth="1"/>
    <col min="13580" max="13580" width="17.5703125" style="62" customWidth="1"/>
    <col min="13581" max="13581" width="12.5703125" style="62" customWidth="1"/>
    <col min="13582" max="13582" width="17" style="62" customWidth="1"/>
    <col min="13583" max="13583" width="13.140625" style="62" customWidth="1"/>
    <col min="13584" max="13588" width="14.7109375" style="62" customWidth="1"/>
    <col min="13589" max="13589" width="12.5703125" style="62" customWidth="1"/>
    <col min="13590" max="13590" width="9.85546875" style="62" customWidth="1"/>
    <col min="13591" max="13591" width="14.7109375" style="62" customWidth="1"/>
    <col min="13592" max="13592" width="19.140625" style="62" customWidth="1"/>
    <col min="13593" max="13593" width="20.28515625" style="62" customWidth="1"/>
    <col min="13594" max="13594" width="13" style="62" customWidth="1"/>
    <col min="13595" max="13824" width="9.140625" style="62"/>
    <col min="13825" max="13825" width="17.85546875" style="62" customWidth="1"/>
    <col min="13826" max="13826" width="16.85546875" style="62" customWidth="1"/>
    <col min="13827" max="13827" width="14.5703125" style="62" customWidth="1"/>
    <col min="13828" max="13829" width="15.85546875" style="62" customWidth="1"/>
    <col min="13830" max="13830" width="17.140625" style="62" customWidth="1"/>
    <col min="13831" max="13831" width="13.140625" style="62" customWidth="1"/>
    <col min="13832" max="13832" width="12.140625" style="62" customWidth="1"/>
    <col min="13833" max="13833" width="12.85546875" style="62" customWidth="1"/>
    <col min="13834" max="13834" width="14.42578125" style="62" customWidth="1"/>
    <col min="13835" max="13835" width="12.7109375" style="62" customWidth="1"/>
    <col min="13836" max="13836" width="17.5703125" style="62" customWidth="1"/>
    <col min="13837" max="13837" width="12.5703125" style="62" customWidth="1"/>
    <col min="13838" max="13838" width="17" style="62" customWidth="1"/>
    <col min="13839" max="13839" width="13.140625" style="62" customWidth="1"/>
    <col min="13840" max="13844" width="14.7109375" style="62" customWidth="1"/>
    <col min="13845" max="13845" width="12.5703125" style="62" customWidth="1"/>
    <col min="13846" max="13846" width="9.85546875" style="62" customWidth="1"/>
    <col min="13847" max="13847" width="14.7109375" style="62" customWidth="1"/>
    <col min="13848" max="13848" width="19.140625" style="62" customWidth="1"/>
    <col min="13849" max="13849" width="20.28515625" style="62" customWidth="1"/>
    <col min="13850" max="13850" width="13" style="62" customWidth="1"/>
    <col min="13851" max="14080" width="9.140625" style="62"/>
    <col min="14081" max="14081" width="17.85546875" style="62" customWidth="1"/>
    <col min="14082" max="14082" width="16.85546875" style="62" customWidth="1"/>
    <col min="14083" max="14083" width="14.5703125" style="62" customWidth="1"/>
    <col min="14084" max="14085" width="15.85546875" style="62" customWidth="1"/>
    <col min="14086" max="14086" width="17.140625" style="62" customWidth="1"/>
    <col min="14087" max="14087" width="13.140625" style="62" customWidth="1"/>
    <col min="14088" max="14088" width="12.140625" style="62" customWidth="1"/>
    <col min="14089" max="14089" width="12.85546875" style="62" customWidth="1"/>
    <col min="14090" max="14090" width="14.42578125" style="62" customWidth="1"/>
    <col min="14091" max="14091" width="12.7109375" style="62" customWidth="1"/>
    <col min="14092" max="14092" width="17.5703125" style="62" customWidth="1"/>
    <col min="14093" max="14093" width="12.5703125" style="62" customWidth="1"/>
    <col min="14094" max="14094" width="17" style="62" customWidth="1"/>
    <col min="14095" max="14095" width="13.140625" style="62" customWidth="1"/>
    <col min="14096" max="14100" width="14.7109375" style="62" customWidth="1"/>
    <col min="14101" max="14101" width="12.5703125" style="62" customWidth="1"/>
    <col min="14102" max="14102" width="9.85546875" style="62" customWidth="1"/>
    <col min="14103" max="14103" width="14.7109375" style="62" customWidth="1"/>
    <col min="14104" max="14104" width="19.140625" style="62" customWidth="1"/>
    <col min="14105" max="14105" width="20.28515625" style="62" customWidth="1"/>
    <col min="14106" max="14106" width="13" style="62" customWidth="1"/>
    <col min="14107" max="14336" width="9.140625" style="62"/>
    <col min="14337" max="14337" width="17.85546875" style="62" customWidth="1"/>
    <col min="14338" max="14338" width="16.85546875" style="62" customWidth="1"/>
    <col min="14339" max="14339" width="14.5703125" style="62" customWidth="1"/>
    <col min="14340" max="14341" width="15.85546875" style="62" customWidth="1"/>
    <col min="14342" max="14342" width="17.140625" style="62" customWidth="1"/>
    <col min="14343" max="14343" width="13.140625" style="62" customWidth="1"/>
    <col min="14344" max="14344" width="12.140625" style="62" customWidth="1"/>
    <col min="14345" max="14345" width="12.85546875" style="62" customWidth="1"/>
    <col min="14346" max="14346" width="14.42578125" style="62" customWidth="1"/>
    <col min="14347" max="14347" width="12.7109375" style="62" customWidth="1"/>
    <col min="14348" max="14348" width="17.5703125" style="62" customWidth="1"/>
    <col min="14349" max="14349" width="12.5703125" style="62" customWidth="1"/>
    <col min="14350" max="14350" width="17" style="62" customWidth="1"/>
    <col min="14351" max="14351" width="13.140625" style="62" customWidth="1"/>
    <col min="14352" max="14356" width="14.7109375" style="62" customWidth="1"/>
    <col min="14357" max="14357" width="12.5703125" style="62" customWidth="1"/>
    <col min="14358" max="14358" width="9.85546875" style="62" customWidth="1"/>
    <col min="14359" max="14359" width="14.7109375" style="62" customWidth="1"/>
    <col min="14360" max="14360" width="19.140625" style="62" customWidth="1"/>
    <col min="14361" max="14361" width="20.28515625" style="62" customWidth="1"/>
    <col min="14362" max="14362" width="13" style="62" customWidth="1"/>
    <col min="14363" max="14592" width="9.140625" style="62"/>
    <col min="14593" max="14593" width="17.85546875" style="62" customWidth="1"/>
    <col min="14594" max="14594" width="16.85546875" style="62" customWidth="1"/>
    <col min="14595" max="14595" width="14.5703125" style="62" customWidth="1"/>
    <col min="14596" max="14597" width="15.85546875" style="62" customWidth="1"/>
    <col min="14598" max="14598" width="17.140625" style="62" customWidth="1"/>
    <col min="14599" max="14599" width="13.140625" style="62" customWidth="1"/>
    <col min="14600" max="14600" width="12.140625" style="62" customWidth="1"/>
    <col min="14601" max="14601" width="12.85546875" style="62" customWidth="1"/>
    <col min="14602" max="14602" width="14.42578125" style="62" customWidth="1"/>
    <col min="14603" max="14603" width="12.7109375" style="62" customWidth="1"/>
    <col min="14604" max="14604" width="17.5703125" style="62" customWidth="1"/>
    <col min="14605" max="14605" width="12.5703125" style="62" customWidth="1"/>
    <col min="14606" max="14606" width="17" style="62" customWidth="1"/>
    <col min="14607" max="14607" width="13.140625" style="62" customWidth="1"/>
    <col min="14608" max="14612" width="14.7109375" style="62" customWidth="1"/>
    <col min="14613" max="14613" width="12.5703125" style="62" customWidth="1"/>
    <col min="14614" max="14614" width="9.85546875" style="62" customWidth="1"/>
    <col min="14615" max="14615" width="14.7109375" style="62" customWidth="1"/>
    <col min="14616" max="14616" width="19.140625" style="62" customWidth="1"/>
    <col min="14617" max="14617" width="20.28515625" style="62" customWidth="1"/>
    <col min="14618" max="14618" width="13" style="62" customWidth="1"/>
    <col min="14619" max="14848" width="9.140625" style="62"/>
    <col min="14849" max="14849" width="17.85546875" style="62" customWidth="1"/>
    <col min="14850" max="14850" width="16.85546875" style="62" customWidth="1"/>
    <col min="14851" max="14851" width="14.5703125" style="62" customWidth="1"/>
    <col min="14852" max="14853" width="15.85546875" style="62" customWidth="1"/>
    <col min="14854" max="14854" width="17.140625" style="62" customWidth="1"/>
    <col min="14855" max="14855" width="13.140625" style="62" customWidth="1"/>
    <col min="14856" max="14856" width="12.140625" style="62" customWidth="1"/>
    <col min="14857" max="14857" width="12.85546875" style="62" customWidth="1"/>
    <col min="14858" max="14858" width="14.42578125" style="62" customWidth="1"/>
    <col min="14859" max="14859" width="12.7109375" style="62" customWidth="1"/>
    <col min="14860" max="14860" width="17.5703125" style="62" customWidth="1"/>
    <col min="14861" max="14861" width="12.5703125" style="62" customWidth="1"/>
    <col min="14862" max="14862" width="17" style="62" customWidth="1"/>
    <col min="14863" max="14863" width="13.140625" style="62" customWidth="1"/>
    <col min="14864" max="14868" width="14.7109375" style="62" customWidth="1"/>
    <col min="14869" max="14869" width="12.5703125" style="62" customWidth="1"/>
    <col min="14870" max="14870" width="9.85546875" style="62" customWidth="1"/>
    <col min="14871" max="14871" width="14.7109375" style="62" customWidth="1"/>
    <col min="14872" max="14872" width="19.140625" style="62" customWidth="1"/>
    <col min="14873" max="14873" width="20.28515625" style="62" customWidth="1"/>
    <col min="14874" max="14874" width="13" style="62" customWidth="1"/>
    <col min="14875" max="15104" width="9.140625" style="62"/>
    <col min="15105" max="15105" width="17.85546875" style="62" customWidth="1"/>
    <col min="15106" max="15106" width="16.85546875" style="62" customWidth="1"/>
    <col min="15107" max="15107" width="14.5703125" style="62" customWidth="1"/>
    <col min="15108" max="15109" width="15.85546875" style="62" customWidth="1"/>
    <col min="15110" max="15110" width="17.140625" style="62" customWidth="1"/>
    <col min="15111" max="15111" width="13.140625" style="62" customWidth="1"/>
    <col min="15112" max="15112" width="12.140625" style="62" customWidth="1"/>
    <col min="15113" max="15113" width="12.85546875" style="62" customWidth="1"/>
    <col min="15114" max="15114" width="14.42578125" style="62" customWidth="1"/>
    <col min="15115" max="15115" width="12.7109375" style="62" customWidth="1"/>
    <col min="15116" max="15116" width="17.5703125" style="62" customWidth="1"/>
    <col min="15117" max="15117" width="12.5703125" style="62" customWidth="1"/>
    <col min="15118" max="15118" width="17" style="62" customWidth="1"/>
    <col min="15119" max="15119" width="13.140625" style="62" customWidth="1"/>
    <col min="15120" max="15124" width="14.7109375" style="62" customWidth="1"/>
    <col min="15125" max="15125" width="12.5703125" style="62" customWidth="1"/>
    <col min="15126" max="15126" width="9.85546875" style="62" customWidth="1"/>
    <col min="15127" max="15127" width="14.7109375" style="62" customWidth="1"/>
    <col min="15128" max="15128" width="19.140625" style="62" customWidth="1"/>
    <col min="15129" max="15129" width="20.28515625" style="62" customWidth="1"/>
    <col min="15130" max="15130" width="13" style="62" customWidth="1"/>
    <col min="15131" max="15360" width="9.140625" style="62"/>
    <col min="15361" max="15361" width="17.85546875" style="62" customWidth="1"/>
    <col min="15362" max="15362" width="16.85546875" style="62" customWidth="1"/>
    <col min="15363" max="15363" width="14.5703125" style="62" customWidth="1"/>
    <col min="15364" max="15365" width="15.85546875" style="62" customWidth="1"/>
    <col min="15366" max="15366" width="17.140625" style="62" customWidth="1"/>
    <col min="15367" max="15367" width="13.140625" style="62" customWidth="1"/>
    <col min="15368" max="15368" width="12.140625" style="62" customWidth="1"/>
    <col min="15369" max="15369" width="12.85546875" style="62" customWidth="1"/>
    <col min="15370" max="15370" width="14.42578125" style="62" customWidth="1"/>
    <col min="15371" max="15371" width="12.7109375" style="62" customWidth="1"/>
    <col min="15372" max="15372" width="17.5703125" style="62" customWidth="1"/>
    <col min="15373" max="15373" width="12.5703125" style="62" customWidth="1"/>
    <col min="15374" max="15374" width="17" style="62" customWidth="1"/>
    <col min="15375" max="15375" width="13.140625" style="62" customWidth="1"/>
    <col min="15376" max="15380" width="14.7109375" style="62" customWidth="1"/>
    <col min="15381" max="15381" width="12.5703125" style="62" customWidth="1"/>
    <col min="15382" max="15382" width="9.85546875" style="62" customWidth="1"/>
    <col min="15383" max="15383" width="14.7109375" style="62" customWidth="1"/>
    <col min="15384" max="15384" width="19.140625" style="62" customWidth="1"/>
    <col min="15385" max="15385" width="20.28515625" style="62" customWidth="1"/>
    <col min="15386" max="15386" width="13" style="62" customWidth="1"/>
    <col min="15387" max="15616" width="9.140625" style="62"/>
    <col min="15617" max="15617" width="17.85546875" style="62" customWidth="1"/>
    <col min="15618" max="15618" width="16.85546875" style="62" customWidth="1"/>
    <col min="15619" max="15619" width="14.5703125" style="62" customWidth="1"/>
    <col min="15620" max="15621" width="15.85546875" style="62" customWidth="1"/>
    <col min="15622" max="15622" width="17.140625" style="62" customWidth="1"/>
    <col min="15623" max="15623" width="13.140625" style="62" customWidth="1"/>
    <col min="15624" max="15624" width="12.140625" style="62" customWidth="1"/>
    <col min="15625" max="15625" width="12.85546875" style="62" customWidth="1"/>
    <col min="15626" max="15626" width="14.42578125" style="62" customWidth="1"/>
    <col min="15627" max="15627" width="12.7109375" style="62" customWidth="1"/>
    <col min="15628" max="15628" width="17.5703125" style="62" customWidth="1"/>
    <col min="15629" max="15629" width="12.5703125" style="62" customWidth="1"/>
    <col min="15630" max="15630" width="17" style="62" customWidth="1"/>
    <col min="15631" max="15631" width="13.140625" style="62" customWidth="1"/>
    <col min="15632" max="15636" width="14.7109375" style="62" customWidth="1"/>
    <col min="15637" max="15637" width="12.5703125" style="62" customWidth="1"/>
    <col min="15638" max="15638" width="9.85546875" style="62" customWidth="1"/>
    <col min="15639" max="15639" width="14.7109375" style="62" customWidth="1"/>
    <col min="15640" max="15640" width="19.140625" style="62" customWidth="1"/>
    <col min="15641" max="15641" width="20.28515625" style="62" customWidth="1"/>
    <col min="15642" max="15642" width="13" style="62" customWidth="1"/>
    <col min="15643" max="15872" width="9.140625" style="62"/>
    <col min="15873" max="15873" width="17.85546875" style="62" customWidth="1"/>
    <col min="15874" max="15874" width="16.85546875" style="62" customWidth="1"/>
    <col min="15875" max="15875" width="14.5703125" style="62" customWidth="1"/>
    <col min="15876" max="15877" width="15.85546875" style="62" customWidth="1"/>
    <col min="15878" max="15878" width="17.140625" style="62" customWidth="1"/>
    <col min="15879" max="15879" width="13.140625" style="62" customWidth="1"/>
    <col min="15880" max="15880" width="12.140625" style="62" customWidth="1"/>
    <col min="15881" max="15881" width="12.85546875" style="62" customWidth="1"/>
    <col min="15882" max="15882" width="14.42578125" style="62" customWidth="1"/>
    <col min="15883" max="15883" width="12.7109375" style="62" customWidth="1"/>
    <col min="15884" max="15884" width="17.5703125" style="62" customWidth="1"/>
    <col min="15885" max="15885" width="12.5703125" style="62" customWidth="1"/>
    <col min="15886" max="15886" width="17" style="62" customWidth="1"/>
    <col min="15887" max="15887" width="13.140625" style="62" customWidth="1"/>
    <col min="15888" max="15892" width="14.7109375" style="62" customWidth="1"/>
    <col min="15893" max="15893" width="12.5703125" style="62" customWidth="1"/>
    <col min="15894" max="15894" width="9.85546875" style="62" customWidth="1"/>
    <col min="15895" max="15895" width="14.7109375" style="62" customWidth="1"/>
    <col min="15896" max="15896" width="19.140625" style="62" customWidth="1"/>
    <col min="15897" max="15897" width="20.28515625" style="62" customWidth="1"/>
    <col min="15898" max="15898" width="13" style="62" customWidth="1"/>
    <col min="15899" max="16128" width="9.140625" style="62"/>
    <col min="16129" max="16129" width="17.85546875" style="62" customWidth="1"/>
    <col min="16130" max="16130" width="16.85546875" style="62" customWidth="1"/>
    <col min="16131" max="16131" width="14.5703125" style="62" customWidth="1"/>
    <col min="16132" max="16133" width="15.85546875" style="62" customWidth="1"/>
    <col min="16134" max="16134" width="17.140625" style="62" customWidth="1"/>
    <col min="16135" max="16135" width="13.140625" style="62" customWidth="1"/>
    <col min="16136" max="16136" width="12.140625" style="62" customWidth="1"/>
    <col min="16137" max="16137" width="12.85546875" style="62" customWidth="1"/>
    <col min="16138" max="16138" width="14.42578125" style="62" customWidth="1"/>
    <col min="16139" max="16139" width="12.7109375" style="62" customWidth="1"/>
    <col min="16140" max="16140" width="17.5703125" style="62" customWidth="1"/>
    <col min="16141" max="16141" width="12.5703125" style="62" customWidth="1"/>
    <col min="16142" max="16142" width="17" style="62" customWidth="1"/>
    <col min="16143" max="16143" width="13.140625" style="62" customWidth="1"/>
    <col min="16144" max="16148" width="14.7109375" style="62" customWidth="1"/>
    <col min="16149" max="16149" width="12.5703125" style="62" customWidth="1"/>
    <col min="16150" max="16150" width="9.85546875" style="62" customWidth="1"/>
    <col min="16151" max="16151" width="14.7109375" style="62" customWidth="1"/>
    <col min="16152" max="16152" width="19.140625" style="62" customWidth="1"/>
    <col min="16153" max="16153" width="20.28515625" style="62" customWidth="1"/>
    <col min="16154" max="16154" width="13" style="62" customWidth="1"/>
    <col min="16155" max="16384" width="9.140625" style="62"/>
  </cols>
  <sheetData>
    <row r="1" spans="1:25" ht="24" customHeight="1" x14ac:dyDescent="0.2">
      <c r="A1" s="688" t="s">
        <v>671</v>
      </c>
      <c r="B1" s="688"/>
      <c r="C1" s="688"/>
      <c r="D1" s="688"/>
      <c r="E1" s="688"/>
      <c r="F1" s="688"/>
      <c r="G1" s="688"/>
      <c r="H1" s="688"/>
      <c r="I1" s="688"/>
      <c r="J1" s="688"/>
      <c r="K1" s="688"/>
      <c r="L1" s="688"/>
      <c r="M1" s="688"/>
      <c r="N1" s="688"/>
      <c r="O1" s="688"/>
      <c r="P1" s="688"/>
      <c r="Q1" s="688"/>
      <c r="R1" s="688"/>
      <c r="S1" s="688"/>
      <c r="T1" s="688"/>
      <c r="U1" s="688"/>
      <c r="V1" s="688"/>
      <c r="W1" s="688"/>
      <c r="X1" s="688"/>
      <c r="Y1" s="688"/>
    </row>
    <row r="2" spans="1:25" ht="18.75" x14ac:dyDescent="0.2">
      <c r="A2" s="688" t="s">
        <v>1052</v>
      </c>
      <c r="B2" s="688"/>
      <c r="C2" s="688"/>
      <c r="D2" s="688"/>
      <c r="E2" s="688"/>
      <c r="F2" s="688"/>
      <c r="G2" s="688"/>
      <c r="H2" s="688"/>
      <c r="I2" s="688"/>
      <c r="J2" s="688"/>
      <c r="K2" s="688"/>
      <c r="L2" s="688"/>
      <c r="M2" s="688"/>
      <c r="N2" s="688"/>
      <c r="O2" s="688"/>
      <c r="P2" s="688"/>
      <c r="Q2" s="688"/>
      <c r="R2" s="688"/>
      <c r="S2" s="688"/>
      <c r="T2" s="688"/>
      <c r="U2" s="688"/>
      <c r="V2" s="688"/>
      <c r="W2" s="688"/>
      <c r="X2" s="688"/>
      <c r="Y2" s="688"/>
    </row>
    <row r="4" spans="1:25" ht="18" x14ac:dyDescent="0.2">
      <c r="A4" s="689" t="s">
        <v>326</v>
      </c>
      <c r="B4" s="689"/>
      <c r="C4" s="689"/>
      <c r="D4" s="689"/>
      <c r="E4" s="689"/>
      <c r="F4" s="689"/>
      <c r="G4" s="689"/>
      <c r="H4" s="689"/>
      <c r="I4" s="689"/>
      <c r="J4" s="689"/>
      <c r="K4" s="689"/>
      <c r="L4" s="689"/>
      <c r="M4" s="689"/>
      <c r="N4" s="689"/>
      <c r="O4" s="689"/>
      <c r="P4" s="689"/>
      <c r="Q4" s="689"/>
      <c r="R4" s="689"/>
      <c r="S4" s="689"/>
      <c r="T4" s="689"/>
      <c r="U4" s="689"/>
      <c r="V4" s="689"/>
      <c r="W4" s="689"/>
      <c r="X4" s="689"/>
      <c r="Y4" s="689"/>
    </row>
    <row r="5" spans="1:25" ht="18" x14ac:dyDescent="0.2">
      <c r="A5" s="150"/>
      <c r="B5" s="150"/>
      <c r="C5" s="150"/>
      <c r="D5" s="149"/>
      <c r="E5" s="149"/>
      <c r="F5" s="149"/>
      <c r="G5" s="149"/>
      <c r="H5" s="149"/>
      <c r="I5" s="149"/>
      <c r="J5" s="149"/>
      <c r="K5" s="149"/>
      <c r="L5" s="149"/>
      <c r="M5" s="149"/>
      <c r="N5" s="149"/>
      <c r="O5" s="149"/>
      <c r="P5" s="149"/>
      <c r="Q5" s="149"/>
      <c r="R5" s="149"/>
      <c r="S5" s="149"/>
      <c r="T5" s="149"/>
    </row>
    <row r="7" spans="1:25" ht="70.5" customHeight="1" x14ac:dyDescent="0.2">
      <c r="A7" s="690" t="s">
        <v>327</v>
      </c>
      <c r="B7" s="692" t="s">
        <v>328</v>
      </c>
      <c r="C7" s="692" t="s">
        <v>329</v>
      </c>
      <c r="D7" s="690" t="s">
        <v>330</v>
      </c>
      <c r="E7" s="690" t="s">
        <v>331</v>
      </c>
      <c r="F7" s="690" t="s">
        <v>332</v>
      </c>
      <c r="G7" s="690" t="s">
        <v>333</v>
      </c>
      <c r="H7" s="690" t="s">
        <v>334</v>
      </c>
      <c r="I7" s="692" t="s">
        <v>335</v>
      </c>
      <c r="J7" s="709" t="s">
        <v>336</v>
      </c>
      <c r="K7" s="709" t="s">
        <v>337</v>
      </c>
      <c r="L7" s="690" t="s">
        <v>338</v>
      </c>
      <c r="M7" s="690" t="s">
        <v>339</v>
      </c>
      <c r="N7" s="690" t="s">
        <v>340</v>
      </c>
      <c r="O7" s="697" t="s">
        <v>341</v>
      </c>
      <c r="P7" s="697" t="s">
        <v>342</v>
      </c>
      <c r="Q7" s="709" t="s">
        <v>343</v>
      </c>
      <c r="R7" s="709"/>
      <c r="S7" s="709"/>
      <c r="T7" s="709"/>
      <c r="U7" s="709"/>
      <c r="V7" s="709"/>
      <c r="W7" s="690" t="s">
        <v>499</v>
      </c>
      <c r="X7" s="690"/>
      <c r="Y7" s="694" t="s">
        <v>344</v>
      </c>
    </row>
    <row r="8" spans="1:25" ht="38.25" customHeight="1" x14ac:dyDescent="0.2">
      <c r="A8" s="691"/>
      <c r="B8" s="693"/>
      <c r="C8" s="693"/>
      <c r="D8" s="690"/>
      <c r="E8" s="691"/>
      <c r="F8" s="690"/>
      <c r="G8" s="690"/>
      <c r="H8" s="690"/>
      <c r="I8" s="714"/>
      <c r="J8" s="710"/>
      <c r="K8" s="710"/>
      <c r="L8" s="691"/>
      <c r="M8" s="691"/>
      <c r="N8" s="691"/>
      <c r="O8" s="698"/>
      <c r="P8" s="698"/>
      <c r="Q8" s="696" t="s">
        <v>672</v>
      </c>
      <c r="R8" s="696" t="s">
        <v>673</v>
      </c>
      <c r="S8" s="696" t="s">
        <v>674</v>
      </c>
      <c r="T8" s="715" t="s">
        <v>345</v>
      </c>
      <c r="U8" s="703" t="s">
        <v>346</v>
      </c>
      <c r="V8" s="703"/>
      <c r="W8" s="690" t="s">
        <v>347</v>
      </c>
      <c r="X8" s="690" t="s">
        <v>348</v>
      </c>
      <c r="Y8" s="695"/>
    </row>
    <row r="9" spans="1:25" ht="24" customHeight="1" x14ac:dyDescent="0.2">
      <c r="A9" s="691"/>
      <c r="B9" s="693"/>
      <c r="C9" s="693"/>
      <c r="D9" s="690"/>
      <c r="E9" s="691"/>
      <c r="F9" s="690"/>
      <c r="G9" s="690"/>
      <c r="H9" s="690"/>
      <c r="I9" s="714"/>
      <c r="J9" s="710"/>
      <c r="K9" s="710"/>
      <c r="L9" s="691"/>
      <c r="M9" s="691"/>
      <c r="N9" s="691"/>
      <c r="O9" s="698"/>
      <c r="P9" s="698"/>
      <c r="Q9" s="691"/>
      <c r="R9" s="691"/>
      <c r="S9" s="691"/>
      <c r="T9" s="710"/>
      <c r="U9" s="148" t="s">
        <v>349</v>
      </c>
      <c r="V9" s="148" t="s">
        <v>350</v>
      </c>
      <c r="W9" s="690"/>
      <c r="X9" s="690"/>
      <c r="Y9" s="695"/>
    </row>
    <row r="10" spans="1:25" ht="20.100000000000001" customHeight="1" x14ac:dyDescent="0.2">
      <c r="A10" s="66" t="s">
        <v>590</v>
      </c>
      <c r="B10" s="66" t="s">
        <v>352</v>
      </c>
      <c r="C10" s="67">
        <v>2021</v>
      </c>
      <c r="D10" s="67">
        <v>2021</v>
      </c>
      <c r="E10" s="67" t="s">
        <v>363</v>
      </c>
      <c r="F10" s="67" t="s">
        <v>353</v>
      </c>
      <c r="G10" s="67" t="s">
        <v>363</v>
      </c>
      <c r="H10" s="67" t="s">
        <v>363</v>
      </c>
      <c r="I10" s="67" t="s">
        <v>355</v>
      </c>
      <c r="J10" s="68" t="s">
        <v>364</v>
      </c>
      <c r="K10" s="67" t="s">
        <v>365</v>
      </c>
      <c r="L10" s="68" t="s">
        <v>1053</v>
      </c>
      <c r="M10" s="68">
        <v>1</v>
      </c>
      <c r="N10" s="67"/>
      <c r="O10" s="68"/>
      <c r="P10" s="68"/>
      <c r="Q10" s="148">
        <f>'SERVIZI SMS'!H2</f>
        <v>11000</v>
      </c>
      <c r="R10" s="148"/>
      <c r="S10" s="148"/>
      <c r="T10" s="148">
        <f>SUM(Q10:S10)</f>
        <v>11000</v>
      </c>
      <c r="U10" s="148">
        <v>0</v>
      </c>
      <c r="V10" s="67">
        <v>0</v>
      </c>
      <c r="W10" s="69" t="s">
        <v>359</v>
      </c>
      <c r="X10" s="70" t="s">
        <v>360</v>
      </c>
      <c r="Y10" s="71"/>
    </row>
    <row r="11" spans="1:25" ht="63.75" x14ac:dyDescent="0.2">
      <c r="A11" s="66" t="s">
        <v>651</v>
      </c>
      <c r="B11" s="66" t="s">
        <v>352</v>
      </c>
      <c r="C11" s="67">
        <v>2021</v>
      </c>
      <c r="D11" s="67">
        <v>2021</v>
      </c>
      <c r="E11" s="67" t="s">
        <v>363</v>
      </c>
      <c r="F11" s="67" t="s">
        <v>363</v>
      </c>
      <c r="G11" s="67" t="s">
        <v>363</v>
      </c>
      <c r="H11" s="67" t="s">
        <v>363</v>
      </c>
      <c r="I11" s="67" t="s">
        <v>355</v>
      </c>
      <c r="J11" s="68" t="s">
        <v>406</v>
      </c>
      <c r="K11" s="67" t="s">
        <v>422</v>
      </c>
      <c r="L11" s="68" t="s">
        <v>1054</v>
      </c>
      <c r="M11" s="68">
        <v>1</v>
      </c>
      <c r="N11" s="67"/>
      <c r="O11" s="68"/>
      <c r="P11" s="68"/>
      <c r="Q11" s="148">
        <f>'SERVIZI SMS'!N5</f>
        <v>62701.07</v>
      </c>
      <c r="R11" s="148"/>
      <c r="S11" s="148"/>
      <c r="T11" s="148">
        <f t="shared" ref="T11:T21" si="0">SUM(Q11:S11)</f>
        <v>62701.07</v>
      </c>
      <c r="U11" s="148">
        <v>0</v>
      </c>
      <c r="V11" s="67">
        <v>0</v>
      </c>
      <c r="W11" s="69" t="s">
        <v>359</v>
      </c>
      <c r="X11" s="70" t="s">
        <v>360</v>
      </c>
      <c r="Y11" s="71"/>
    </row>
    <row r="12" spans="1:25" ht="20.100000000000001" customHeight="1" x14ac:dyDescent="0.25">
      <c r="A12" s="66" t="s">
        <v>652</v>
      </c>
      <c r="B12" s="66" t="s">
        <v>352</v>
      </c>
      <c r="C12" s="67">
        <v>2021</v>
      </c>
      <c r="D12" s="67">
        <v>2021</v>
      </c>
      <c r="E12" s="67" t="s">
        <v>363</v>
      </c>
      <c r="F12" s="67"/>
      <c r="G12" s="67"/>
      <c r="H12" s="67"/>
      <c r="I12" s="67"/>
      <c r="J12" s="68" t="s">
        <v>406</v>
      </c>
      <c r="K12" t="s">
        <v>456</v>
      </c>
      <c r="L12" s="68" t="s">
        <v>1056</v>
      </c>
      <c r="M12" s="68">
        <v>1</v>
      </c>
      <c r="N12" s="67"/>
      <c r="O12" s="68"/>
      <c r="P12" s="68"/>
      <c r="Q12" s="148">
        <f>'SERVIZI SMS'!H7</f>
        <v>5000</v>
      </c>
      <c r="R12" s="148"/>
      <c r="S12" s="148"/>
      <c r="T12" s="148">
        <f t="shared" si="0"/>
        <v>5000</v>
      </c>
      <c r="U12" s="148"/>
      <c r="V12" s="67"/>
      <c r="W12" s="69"/>
      <c r="X12" s="70"/>
      <c r="Y12" s="71"/>
    </row>
    <row r="13" spans="1:25" ht="20.100000000000001" customHeight="1" x14ac:dyDescent="0.25">
      <c r="A13" s="66" t="s">
        <v>653</v>
      </c>
      <c r="B13" s="66" t="s">
        <v>352</v>
      </c>
      <c r="C13" s="67">
        <v>2021</v>
      </c>
      <c r="D13" s="67">
        <v>2021</v>
      </c>
      <c r="E13" s="67" t="s">
        <v>363</v>
      </c>
      <c r="F13" s="67"/>
      <c r="G13" s="67"/>
      <c r="H13" s="67"/>
      <c r="I13" s="67"/>
      <c r="J13" s="68" t="s">
        <v>406</v>
      </c>
      <c r="K13" t="s">
        <v>654</v>
      </c>
      <c r="L13" s="68" t="s">
        <v>1057</v>
      </c>
      <c r="M13" s="68">
        <v>1</v>
      </c>
      <c r="N13" s="67"/>
      <c r="O13" s="68"/>
      <c r="P13" s="68"/>
      <c r="Q13" s="148">
        <f>'SERVIZI SMS'!H8</f>
        <v>28000</v>
      </c>
      <c r="R13" s="148"/>
      <c r="S13" s="148"/>
      <c r="T13" s="148">
        <f t="shared" si="0"/>
        <v>28000</v>
      </c>
      <c r="U13" s="148"/>
      <c r="V13" s="67"/>
      <c r="W13" s="69"/>
      <c r="X13" s="70"/>
      <c r="Y13" s="71"/>
    </row>
    <row r="14" spans="1:25" ht="20.100000000000001" customHeight="1" x14ac:dyDescent="0.2">
      <c r="A14" s="66" t="s">
        <v>656</v>
      </c>
      <c r="B14" s="66" t="s">
        <v>352</v>
      </c>
      <c r="C14" s="67">
        <v>2021</v>
      </c>
      <c r="D14" s="67">
        <v>2021</v>
      </c>
      <c r="E14" s="67" t="s">
        <v>363</v>
      </c>
      <c r="F14" s="67" t="s">
        <v>363</v>
      </c>
      <c r="G14" s="67" t="s">
        <v>363</v>
      </c>
      <c r="H14" s="67" t="s">
        <v>363</v>
      </c>
      <c r="I14" s="67" t="s">
        <v>355</v>
      </c>
      <c r="J14" s="68" t="s">
        <v>406</v>
      </c>
      <c r="K14" s="67" t="s">
        <v>428</v>
      </c>
      <c r="L14" s="68" t="s">
        <v>1058</v>
      </c>
      <c r="M14" s="68">
        <v>1</v>
      </c>
      <c r="N14" s="67"/>
      <c r="O14" s="68"/>
      <c r="P14" s="68"/>
      <c r="Q14" s="148">
        <f>'SERVIZI SMS'!H9</f>
        <v>5031.68</v>
      </c>
      <c r="R14" s="148"/>
      <c r="S14" s="148"/>
      <c r="T14" s="148">
        <f t="shared" si="0"/>
        <v>5031.68</v>
      </c>
      <c r="U14" s="148">
        <v>0</v>
      </c>
      <c r="V14" s="67">
        <v>0</v>
      </c>
      <c r="W14" s="69" t="s">
        <v>359</v>
      </c>
      <c r="X14" s="70" t="s">
        <v>360</v>
      </c>
      <c r="Y14" s="71"/>
    </row>
    <row r="15" spans="1:25" ht="20.100000000000001" customHeight="1" x14ac:dyDescent="0.25">
      <c r="A15" s="66" t="s">
        <v>658</v>
      </c>
      <c r="B15" s="66" t="s">
        <v>352</v>
      </c>
      <c r="C15" s="67">
        <v>2021</v>
      </c>
      <c r="D15" s="67">
        <v>2021</v>
      </c>
      <c r="E15" s="67" t="s">
        <v>363</v>
      </c>
      <c r="F15" s="67"/>
      <c r="G15" s="67"/>
      <c r="H15" s="67"/>
      <c r="I15" s="67"/>
      <c r="J15" s="68" t="s">
        <v>406</v>
      </c>
      <c r="K15" t="s">
        <v>660</v>
      </c>
      <c r="L15" s="68" t="s">
        <v>1048</v>
      </c>
      <c r="M15" s="68">
        <v>1</v>
      </c>
      <c r="N15" s="67"/>
      <c r="O15" s="68"/>
      <c r="P15" s="68"/>
      <c r="Q15" s="148">
        <f>'SERVIZI SMS'!H10</f>
        <v>500</v>
      </c>
      <c r="R15" s="148"/>
      <c r="S15" s="148"/>
      <c r="T15" s="148">
        <f t="shared" si="0"/>
        <v>500</v>
      </c>
      <c r="U15" s="148"/>
      <c r="V15" s="67"/>
      <c r="W15" s="69"/>
      <c r="X15" s="70"/>
      <c r="Y15" s="71"/>
    </row>
    <row r="16" spans="1:25" ht="20.100000000000001" customHeight="1" x14ac:dyDescent="0.2">
      <c r="A16" s="66"/>
      <c r="B16" s="66"/>
      <c r="C16" s="67"/>
      <c r="D16" s="67"/>
      <c r="E16" s="67"/>
      <c r="F16" s="67"/>
      <c r="G16" s="67"/>
      <c r="H16" s="67" t="s">
        <v>363</v>
      </c>
      <c r="I16" s="67" t="s">
        <v>355</v>
      </c>
      <c r="J16" s="68" t="s">
        <v>364</v>
      </c>
      <c r="K16" s="67" t="s">
        <v>365</v>
      </c>
      <c r="L16" s="68" t="s">
        <v>1053</v>
      </c>
      <c r="M16" s="68">
        <v>1</v>
      </c>
      <c r="N16" s="67"/>
      <c r="O16" s="68"/>
      <c r="P16" s="68"/>
      <c r="Q16" s="148"/>
      <c r="R16" s="148">
        <f>'SERVIZI SMS'!O2</f>
        <v>11000</v>
      </c>
      <c r="S16" s="148"/>
      <c r="T16" s="148">
        <f t="shared" si="0"/>
        <v>11000</v>
      </c>
      <c r="U16" s="148"/>
      <c r="V16" s="67"/>
      <c r="W16" s="69"/>
      <c r="X16" s="70"/>
      <c r="Y16" s="71"/>
    </row>
    <row r="17" spans="1:25" ht="20.100000000000001" customHeight="1" x14ac:dyDescent="0.2">
      <c r="A17" s="66"/>
      <c r="B17" s="66"/>
      <c r="C17" s="67"/>
      <c r="D17" s="67"/>
      <c r="E17" s="67"/>
      <c r="F17" s="67"/>
      <c r="G17" s="67"/>
      <c r="H17" s="67" t="s">
        <v>363</v>
      </c>
      <c r="I17" s="67" t="s">
        <v>355</v>
      </c>
      <c r="J17" s="68" t="s">
        <v>406</v>
      </c>
      <c r="K17" s="67" t="s">
        <v>422</v>
      </c>
      <c r="L17" s="68" t="s">
        <v>1054</v>
      </c>
      <c r="M17" s="68">
        <v>1</v>
      </c>
      <c r="N17" s="67"/>
      <c r="O17" s="68"/>
      <c r="P17" s="68"/>
      <c r="Q17" s="148"/>
      <c r="R17" s="148">
        <f>'SERVIZI SMS'!P5</f>
        <v>0</v>
      </c>
      <c r="S17" s="148"/>
      <c r="T17" s="148">
        <f t="shared" si="0"/>
        <v>0</v>
      </c>
      <c r="U17" s="148"/>
      <c r="V17" s="67"/>
      <c r="W17" s="69"/>
      <c r="X17" s="70"/>
      <c r="Y17" s="71"/>
    </row>
    <row r="18" spans="1:25" ht="20.100000000000001" customHeight="1" x14ac:dyDescent="0.25">
      <c r="A18" s="66"/>
      <c r="B18" s="66"/>
      <c r="C18" s="67"/>
      <c r="D18" s="67"/>
      <c r="E18" s="67"/>
      <c r="F18" s="67"/>
      <c r="G18" s="67"/>
      <c r="H18" s="67"/>
      <c r="I18" s="67"/>
      <c r="J18" s="68" t="s">
        <v>406</v>
      </c>
      <c r="K18" t="s">
        <v>456</v>
      </c>
      <c r="L18" s="68" t="s">
        <v>1056</v>
      </c>
      <c r="M18" s="68">
        <v>1</v>
      </c>
      <c r="N18" s="67"/>
      <c r="O18" s="68"/>
      <c r="P18" s="68"/>
      <c r="Q18" s="148"/>
      <c r="R18" s="148">
        <f>'SERVIZI SMS'!O7</f>
        <v>30000</v>
      </c>
      <c r="S18" s="148"/>
      <c r="T18" s="148">
        <f t="shared" si="0"/>
        <v>30000</v>
      </c>
      <c r="U18" s="148"/>
      <c r="V18" s="67"/>
      <c r="W18" s="69"/>
      <c r="X18" s="70"/>
      <c r="Y18" s="71"/>
    </row>
    <row r="19" spans="1:25" ht="20.100000000000001" customHeight="1" x14ac:dyDescent="0.25">
      <c r="A19" s="66"/>
      <c r="B19" s="66"/>
      <c r="C19" s="67"/>
      <c r="D19" s="67"/>
      <c r="E19" s="67"/>
      <c r="F19" s="67"/>
      <c r="G19" s="67"/>
      <c r="H19" s="67"/>
      <c r="I19" s="67"/>
      <c r="J19" s="68" t="s">
        <v>406</v>
      </c>
      <c r="K19" t="s">
        <v>654</v>
      </c>
      <c r="L19" s="68" t="s">
        <v>1057</v>
      </c>
      <c r="M19" s="68">
        <v>1</v>
      </c>
      <c r="N19" s="67"/>
      <c r="O19" s="68"/>
      <c r="P19" s="68"/>
      <c r="Q19" s="148"/>
      <c r="R19" s="148">
        <f>'SERVIZI SMS'!O8</f>
        <v>40000</v>
      </c>
      <c r="S19" s="148"/>
      <c r="T19" s="148">
        <f t="shared" si="0"/>
        <v>40000</v>
      </c>
      <c r="U19" s="148"/>
      <c r="V19" s="67"/>
      <c r="W19" s="69"/>
      <c r="X19" s="70"/>
      <c r="Y19" s="71"/>
    </row>
    <row r="20" spans="1:25" ht="20.100000000000001" customHeight="1" x14ac:dyDescent="0.2">
      <c r="A20" s="66"/>
      <c r="B20" s="66"/>
      <c r="C20" s="67"/>
      <c r="D20" s="67"/>
      <c r="E20" s="67"/>
      <c r="F20" s="67"/>
      <c r="G20" s="67"/>
      <c r="H20" s="67" t="s">
        <v>363</v>
      </c>
      <c r="I20" s="67" t="s">
        <v>355</v>
      </c>
      <c r="J20" s="68" t="s">
        <v>406</v>
      </c>
      <c r="K20" s="67" t="s">
        <v>428</v>
      </c>
      <c r="L20" s="68" t="s">
        <v>1058</v>
      </c>
      <c r="M20" s="68">
        <v>1</v>
      </c>
      <c r="N20" s="67"/>
      <c r="O20" s="68"/>
      <c r="P20" s="68"/>
      <c r="Q20" s="148"/>
      <c r="R20" s="148">
        <f>'SERVIZI SMS'!O9</f>
        <v>5031.68</v>
      </c>
      <c r="S20" s="148"/>
      <c r="T20" s="148">
        <f t="shared" si="0"/>
        <v>5031.68</v>
      </c>
      <c r="U20" s="148"/>
      <c r="V20" s="67"/>
      <c r="W20" s="69"/>
      <c r="X20" s="70"/>
      <c r="Y20" s="71"/>
    </row>
    <row r="21" spans="1:25" ht="20.100000000000001" customHeight="1" x14ac:dyDescent="0.25">
      <c r="A21" s="66"/>
      <c r="B21" s="66"/>
      <c r="C21" s="67"/>
      <c r="D21" s="67"/>
      <c r="E21" s="67"/>
      <c r="F21" s="67"/>
      <c r="G21" s="67"/>
      <c r="H21" s="67"/>
      <c r="I21" s="67"/>
      <c r="J21" s="68" t="s">
        <v>406</v>
      </c>
      <c r="K21" t="s">
        <v>660</v>
      </c>
      <c r="L21" s="68" t="s">
        <v>1048</v>
      </c>
      <c r="M21" s="68">
        <v>1</v>
      </c>
      <c r="N21" s="67"/>
      <c r="O21" s="68"/>
      <c r="P21" s="68"/>
      <c r="Q21" s="148"/>
      <c r="R21" s="148">
        <f>'SERVIZI SMS'!O10</f>
        <v>500</v>
      </c>
      <c r="S21" s="148"/>
      <c r="T21" s="148">
        <f t="shared" si="0"/>
        <v>500</v>
      </c>
      <c r="U21" s="148"/>
      <c r="V21" s="67"/>
      <c r="W21" s="69"/>
      <c r="X21" s="70"/>
      <c r="Y21" s="71"/>
    </row>
    <row r="22" spans="1:25" ht="15" customHeight="1" x14ac:dyDescent="0.2">
      <c r="A22" s="81"/>
      <c r="Q22" s="82">
        <f>SUM(Q10:Q21)</f>
        <v>112232.75</v>
      </c>
      <c r="R22" s="82">
        <f>SUM(R10:R21)</f>
        <v>86531.68</v>
      </c>
      <c r="S22" s="82">
        <f>SUM(S11:S21)</f>
        <v>0</v>
      </c>
      <c r="T22" s="82">
        <f>SUM(T10:T21)</f>
        <v>198764.43</v>
      </c>
      <c r="U22" s="82" t="s">
        <v>458</v>
      </c>
    </row>
    <row r="23" spans="1:25" x14ac:dyDescent="0.2">
      <c r="A23" s="66"/>
    </row>
    <row r="24" spans="1:25" x14ac:dyDescent="0.2">
      <c r="A24" s="711" t="s">
        <v>459</v>
      </c>
      <c r="B24" s="711"/>
      <c r="C24" s="711"/>
      <c r="D24" s="711"/>
      <c r="E24" s="711"/>
      <c r="F24" s="711"/>
      <c r="G24" s="711"/>
      <c r="H24" s="711"/>
      <c r="I24" s="711"/>
      <c r="J24" s="711"/>
      <c r="K24" s="711"/>
      <c r="L24" s="711"/>
    </row>
    <row r="25" spans="1:25" x14ac:dyDescent="0.2">
      <c r="A25" s="712" t="s">
        <v>460</v>
      </c>
      <c r="B25" s="712"/>
      <c r="C25" s="712"/>
      <c r="D25" s="713"/>
      <c r="E25" s="713"/>
      <c r="F25" s="713"/>
      <c r="G25" s="713"/>
      <c r="H25" s="713"/>
      <c r="I25" s="713"/>
      <c r="J25" s="713"/>
      <c r="K25" s="713"/>
      <c r="L25" s="713"/>
    </row>
    <row r="26" spans="1:25" x14ac:dyDescent="0.2">
      <c r="A26" s="699" t="s">
        <v>461</v>
      </c>
      <c r="B26" s="699"/>
      <c r="C26" s="699"/>
      <c r="D26" s="699"/>
      <c r="E26" s="699"/>
      <c r="F26" s="699"/>
      <c r="G26" s="699"/>
      <c r="H26" s="699"/>
      <c r="I26" s="699"/>
      <c r="J26" s="699"/>
      <c r="K26" s="699"/>
      <c r="L26" s="699"/>
      <c r="Q26" s="83" t="s">
        <v>462</v>
      </c>
    </row>
    <row r="27" spans="1:25" ht="25.5" customHeight="1" x14ac:dyDescent="0.2">
      <c r="A27" s="699" t="s">
        <v>463</v>
      </c>
      <c r="B27" s="699"/>
      <c r="C27" s="699"/>
      <c r="D27" s="699"/>
      <c r="E27" s="699"/>
      <c r="F27" s="699"/>
      <c r="G27" s="699"/>
      <c r="H27" s="699"/>
      <c r="I27" s="699"/>
      <c r="J27" s="699"/>
      <c r="K27" s="699"/>
      <c r="L27" s="699"/>
      <c r="M27" s="699"/>
      <c r="N27" s="699"/>
      <c r="Q27" s="83" t="s">
        <v>464</v>
      </c>
      <c r="Y27" s="83"/>
    </row>
    <row r="28" spans="1:25" x14ac:dyDescent="0.2">
      <c r="A28" s="699" t="s">
        <v>465</v>
      </c>
      <c r="B28" s="704"/>
      <c r="C28" s="704"/>
      <c r="D28" s="704"/>
      <c r="E28" s="704"/>
      <c r="F28" s="704"/>
      <c r="G28" s="704"/>
      <c r="H28" s="704"/>
      <c r="I28" s="704"/>
      <c r="J28" s="704"/>
      <c r="K28" s="704"/>
      <c r="L28" s="704"/>
      <c r="Q28" s="83"/>
      <c r="Y28" s="83"/>
    </row>
    <row r="29" spans="1:25" x14ac:dyDescent="0.2">
      <c r="A29" s="705" t="s">
        <v>466</v>
      </c>
      <c r="B29" s="705"/>
      <c r="C29" s="705"/>
      <c r="D29" s="705"/>
      <c r="E29" s="705"/>
      <c r="F29" s="705"/>
      <c r="G29" s="705"/>
      <c r="H29" s="705"/>
      <c r="I29" s="705"/>
      <c r="J29" s="705"/>
      <c r="K29" s="705"/>
      <c r="L29" s="705"/>
    </row>
    <row r="30" spans="1:25" ht="12.75" customHeight="1" x14ac:dyDescent="0.2">
      <c r="A30" s="699" t="s">
        <v>467</v>
      </c>
      <c r="B30" s="699"/>
      <c r="C30" s="699"/>
      <c r="D30" s="699"/>
      <c r="E30" s="699"/>
      <c r="F30" s="699"/>
      <c r="G30" s="699"/>
      <c r="H30" s="699"/>
      <c r="I30" s="699"/>
      <c r="J30" s="699"/>
      <c r="K30" s="699"/>
      <c r="L30" s="144"/>
      <c r="P30" s="706" t="s">
        <v>468</v>
      </c>
      <c r="Q30" s="707"/>
      <c r="R30" s="707"/>
      <c r="S30" s="707"/>
      <c r="T30" s="707"/>
      <c r="U30" s="707"/>
      <c r="V30" s="707"/>
      <c r="W30" s="707"/>
      <c r="X30" s="708"/>
    </row>
    <row r="31" spans="1:25" ht="12.75" customHeight="1" x14ac:dyDescent="0.2">
      <c r="A31" s="699" t="s">
        <v>469</v>
      </c>
      <c r="B31" s="699"/>
      <c r="C31" s="699"/>
      <c r="D31" s="699"/>
      <c r="E31" s="699"/>
      <c r="F31" s="699"/>
      <c r="G31" s="699"/>
      <c r="H31" s="699"/>
      <c r="I31" s="699"/>
      <c r="J31" s="699"/>
      <c r="K31" s="699"/>
      <c r="P31" s="700" t="s">
        <v>470</v>
      </c>
      <c r="Q31" s="701"/>
      <c r="R31" s="701"/>
      <c r="S31" s="701"/>
      <c r="T31" s="702"/>
      <c r="U31" s="151" t="s">
        <v>471</v>
      </c>
      <c r="V31" s="86"/>
      <c r="W31" s="86"/>
      <c r="X31" s="87"/>
    </row>
    <row r="32" spans="1:25" ht="12.75" customHeight="1" x14ac:dyDescent="0.2">
      <c r="A32" s="699" t="s">
        <v>472</v>
      </c>
      <c r="B32" s="699"/>
      <c r="C32" s="699"/>
      <c r="D32" s="699"/>
      <c r="E32" s="699"/>
      <c r="F32" s="699"/>
      <c r="G32" s="699"/>
      <c r="H32" s="699"/>
      <c r="I32" s="699"/>
      <c r="J32" s="699"/>
      <c r="K32" s="699"/>
      <c r="L32" s="699"/>
      <c r="M32" s="699"/>
      <c r="N32" s="699"/>
      <c r="P32" s="145"/>
      <c r="Q32" s="146"/>
      <c r="R32" s="146"/>
      <c r="S32" s="146"/>
      <c r="T32" s="146"/>
      <c r="U32" s="90"/>
      <c r="V32" s="86"/>
      <c r="W32" s="86"/>
      <c r="X32" s="87"/>
    </row>
    <row r="33" spans="1:24" ht="12.75" customHeight="1" x14ac:dyDescent="0.2">
      <c r="A33" s="699" t="s">
        <v>473</v>
      </c>
      <c r="B33" s="699"/>
      <c r="C33" s="699"/>
      <c r="D33" s="699"/>
      <c r="E33" s="699"/>
      <c r="F33" s="699"/>
      <c r="G33" s="699"/>
      <c r="H33" s="699"/>
      <c r="I33" s="699"/>
      <c r="J33" s="699"/>
      <c r="K33" s="699"/>
      <c r="L33" s="699"/>
      <c r="M33" s="699"/>
      <c r="N33" s="699"/>
      <c r="P33" s="716" t="s">
        <v>474</v>
      </c>
      <c r="Q33" s="717"/>
      <c r="R33" s="717"/>
      <c r="S33" s="717"/>
      <c r="T33" s="717"/>
      <c r="U33" s="717"/>
      <c r="V33" s="717"/>
      <c r="W33" s="717"/>
      <c r="X33" s="718"/>
    </row>
    <row r="34" spans="1:24" ht="12" customHeight="1" x14ac:dyDescent="0.25">
      <c r="A34" s="699" t="s">
        <v>475</v>
      </c>
      <c r="B34" s="699"/>
      <c r="C34" s="699"/>
      <c r="D34" s="699"/>
      <c r="E34" s="699"/>
      <c r="F34" s="699"/>
      <c r="G34" s="699"/>
      <c r="H34" s="699"/>
      <c r="I34" s="699"/>
      <c r="J34" s="699"/>
      <c r="K34" s="699"/>
      <c r="L34" s="699"/>
      <c r="M34" s="699"/>
      <c r="N34" s="699"/>
      <c r="P34" s="719" t="s">
        <v>476</v>
      </c>
      <c r="Q34" s="720"/>
      <c r="R34" s="720"/>
      <c r="S34" s="720"/>
      <c r="T34" s="721"/>
      <c r="U34" s="91" t="s">
        <v>477</v>
      </c>
      <c r="V34" s="91" t="s">
        <v>478</v>
      </c>
      <c r="W34" s="722" t="s">
        <v>479</v>
      </c>
      <c r="X34" s="723"/>
    </row>
    <row r="35" spans="1:24" ht="12.75" customHeight="1" x14ac:dyDescent="0.2">
      <c r="A35" s="699" t="s">
        <v>480</v>
      </c>
      <c r="B35" s="699"/>
      <c r="C35" s="699"/>
      <c r="D35" s="699"/>
      <c r="E35" s="699"/>
      <c r="F35" s="699"/>
      <c r="G35" s="699"/>
      <c r="H35" s="699"/>
      <c r="I35" s="699"/>
      <c r="J35" s="699"/>
      <c r="K35" s="699"/>
      <c r="L35" s="699"/>
      <c r="M35" s="699"/>
      <c r="N35" s="699"/>
      <c r="P35" s="724" t="s">
        <v>481</v>
      </c>
      <c r="Q35" s="725"/>
      <c r="R35" s="725"/>
      <c r="S35" s="725"/>
      <c r="T35" s="726"/>
      <c r="U35" s="151" t="s">
        <v>482</v>
      </c>
      <c r="V35" s="92" t="s">
        <v>482</v>
      </c>
      <c r="W35" s="724" t="s">
        <v>482</v>
      </c>
      <c r="X35" s="726"/>
    </row>
    <row r="36" spans="1:24" s="93" customFormat="1" ht="12.75" customHeight="1" x14ac:dyDescent="0.2">
      <c r="A36" s="699" t="s">
        <v>483</v>
      </c>
      <c r="B36" s="699"/>
      <c r="C36" s="699"/>
      <c r="D36" s="699"/>
      <c r="E36" s="699"/>
      <c r="F36" s="699"/>
      <c r="G36" s="699"/>
      <c r="H36" s="699"/>
      <c r="I36" s="699"/>
      <c r="J36" s="699"/>
      <c r="K36" s="699"/>
      <c r="L36" s="699"/>
      <c r="M36" s="699"/>
      <c r="N36" s="699"/>
      <c r="P36" s="724" t="s">
        <v>484</v>
      </c>
      <c r="Q36" s="725"/>
      <c r="R36" s="725"/>
      <c r="S36" s="725"/>
      <c r="T36" s="726"/>
      <c r="U36" s="151" t="s">
        <v>482</v>
      </c>
      <c r="V36" s="92" t="s">
        <v>482</v>
      </c>
      <c r="W36" s="724" t="s">
        <v>482</v>
      </c>
      <c r="X36" s="726"/>
    </row>
    <row r="37" spans="1:24" s="93" customFormat="1" ht="12.75" customHeight="1" x14ac:dyDescent="0.2">
      <c r="A37" s="699"/>
      <c r="B37" s="699"/>
      <c r="C37" s="699"/>
      <c r="D37" s="699"/>
      <c r="E37" s="699"/>
      <c r="F37" s="699"/>
      <c r="G37" s="699"/>
      <c r="H37" s="699"/>
      <c r="I37" s="699"/>
      <c r="J37" s="699"/>
      <c r="K37" s="699"/>
      <c r="L37" s="699"/>
      <c r="M37" s="699"/>
      <c r="N37" s="699"/>
      <c r="P37" s="724" t="s">
        <v>485</v>
      </c>
      <c r="Q37" s="725"/>
      <c r="R37" s="725"/>
      <c r="S37" s="725"/>
      <c r="T37" s="726"/>
      <c r="U37" s="151">
        <v>4599555</v>
      </c>
      <c r="V37" s="94">
        <v>4570379</v>
      </c>
      <c r="W37" s="724">
        <v>4570179</v>
      </c>
      <c r="X37" s="726"/>
    </row>
    <row r="38" spans="1:24" s="93" customFormat="1" ht="12.75" customHeight="1" x14ac:dyDescent="0.2">
      <c r="A38" s="152"/>
      <c r="B38" s="152"/>
      <c r="C38" s="152"/>
      <c r="D38" s="152"/>
      <c r="E38" s="152"/>
      <c r="F38" s="152"/>
      <c r="G38" s="152"/>
      <c r="H38" s="152"/>
      <c r="I38" s="152"/>
      <c r="J38" s="152"/>
      <c r="K38" s="152"/>
      <c r="L38" s="152"/>
      <c r="M38" s="152"/>
      <c r="N38" s="152"/>
      <c r="P38" s="724" t="s">
        <v>486</v>
      </c>
      <c r="Q38" s="725"/>
      <c r="R38" s="725"/>
      <c r="S38" s="725"/>
      <c r="T38" s="726"/>
      <c r="U38" s="151" t="s">
        <v>482</v>
      </c>
      <c r="V38" s="92" t="s">
        <v>482</v>
      </c>
      <c r="W38" s="724" t="s">
        <v>482</v>
      </c>
      <c r="X38" s="726"/>
    </row>
    <row r="39" spans="1:24" ht="12" customHeight="1" x14ac:dyDescent="0.2">
      <c r="A39" s="96" t="s">
        <v>487</v>
      </c>
      <c r="P39" s="724" t="s">
        <v>488</v>
      </c>
      <c r="Q39" s="725"/>
      <c r="R39" s="725"/>
      <c r="S39" s="725"/>
      <c r="T39" s="726"/>
      <c r="U39" s="151" t="s">
        <v>482</v>
      </c>
      <c r="V39" s="92" t="s">
        <v>482</v>
      </c>
      <c r="W39" s="724" t="s">
        <v>482</v>
      </c>
      <c r="X39" s="726"/>
    </row>
    <row r="40" spans="1:24" ht="12.75" customHeight="1" x14ac:dyDescent="0.2">
      <c r="A40" s="704" t="s">
        <v>489</v>
      </c>
      <c r="B40" s="704"/>
      <c r="J40" s="97"/>
      <c r="P40" s="724" t="s">
        <v>490</v>
      </c>
      <c r="Q40" s="725"/>
      <c r="R40" s="725"/>
      <c r="S40" s="725"/>
      <c r="T40" s="726"/>
      <c r="U40" s="151" t="s">
        <v>482</v>
      </c>
      <c r="V40" s="92" t="s">
        <v>482</v>
      </c>
      <c r="W40" s="724" t="s">
        <v>482</v>
      </c>
      <c r="X40" s="726"/>
    </row>
    <row r="41" spans="1:24" x14ac:dyDescent="0.2">
      <c r="A41" s="704" t="s">
        <v>491</v>
      </c>
      <c r="B41" s="704"/>
    </row>
    <row r="42" spans="1:24" ht="12.75" customHeight="1" x14ac:dyDescent="0.2">
      <c r="A42" s="704" t="s">
        <v>492</v>
      </c>
      <c r="B42" s="704"/>
    </row>
    <row r="43" spans="1:24" ht="12.75" customHeight="1" x14ac:dyDescent="0.2"/>
    <row r="44" spans="1:24" ht="12.75" customHeight="1" x14ac:dyDescent="0.2">
      <c r="A44" s="98" t="s">
        <v>493</v>
      </c>
      <c r="B44" s="93"/>
      <c r="C44" s="93"/>
      <c r="D44" s="93"/>
      <c r="W44" s="93"/>
      <c r="X44" s="93"/>
    </row>
    <row r="45" spans="1:24" s="93" customFormat="1" ht="14.25" customHeight="1" x14ac:dyDescent="0.2">
      <c r="A45" s="727" t="s">
        <v>494</v>
      </c>
      <c r="B45" s="727"/>
      <c r="C45" s="727"/>
      <c r="D45" s="727"/>
      <c r="E45" s="152"/>
      <c r="F45" s="152"/>
      <c r="G45" s="152"/>
      <c r="H45" s="152"/>
      <c r="I45" s="152"/>
      <c r="J45" s="152"/>
      <c r="K45" s="152"/>
      <c r="L45" s="152"/>
      <c r="M45" s="152"/>
      <c r="O45" s="62"/>
      <c r="P45" s="62"/>
      <c r="Q45" s="62"/>
      <c r="R45" s="62"/>
      <c r="S45" s="62"/>
      <c r="T45" s="62"/>
      <c r="U45" s="62"/>
      <c r="V45" s="62"/>
      <c r="W45" s="62"/>
      <c r="X45" s="62"/>
    </row>
    <row r="46" spans="1:24" ht="14.25" customHeight="1" x14ac:dyDescent="0.2">
      <c r="A46" s="727" t="s">
        <v>495</v>
      </c>
      <c r="B46" s="727"/>
      <c r="C46" s="727"/>
      <c r="D46" s="727"/>
    </row>
    <row r="47" spans="1:24" ht="14.25" customHeight="1" x14ac:dyDescent="0.2">
      <c r="A47" s="727" t="s">
        <v>496</v>
      </c>
      <c r="B47" s="727"/>
      <c r="C47" s="727"/>
      <c r="D47" s="727"/>
      <c r="J47" s="97"/>
    </row>
    <row r="48" spans="1:24" ht="14.25" customHeight="1" x14ac:dyDescent="0.2">
      <c r="A48" s="727" t="s">
        <v>497</v>
      </c>
      <c r="B48" s="727"/>
      <c r="C48" s="727"/>
      <c r="D48" s="727"/>
    </row>
    <row r="49" spans="1:4" ht="14.25" customHeight="1" x14ac:dyDescent="0.2">
      <c r="A49" s="727" t="s">
        <v>498</v>
      </c>
      <c r="B49" s="727"/>
      <c r="C49" s="727"/>
      <c r="D49" s="727"/>
    </row>
  </sheetData>
  <mergeCells count="68">
    <mergeCell ref="A46:D46"/>
    <mergeCell ref="A47:D47"/>
    <mergeCell ref="A48:D48"/>
    <mergeCell ref="A49:D49"/>
    <mergeCell ref="A40:B40"/>
    <mergeCell ref="P40:T40"/>
    <mergeCell ref="W40:X40"/>
    <mergeCell ref="A41:B41"/>
    <mergeCell ref="A42:B42"/>
    <mergeCell ref="A45:D45"/>
    <mergeCell ref="P39:T39"/>
    <mergeCell ref="W39:X39"/>
    <mergeCell ref="A35:N35"/>
    <mergeCell ref="P35:T35"/>
    <mergeCell ref="W35:X35"/>
    <mergeCell ref="A36:N36"/>
    <mergeCell ref="P36:T36"/>
    <mergeCell ref="W36:X36"/>
    <mergeCell ref="A37:N37"/>
    <mergeCell ref="P37:T37"/>
    <mergeCell ref="W37:X37"/>
    <mergeCell ref="P38:T38"/>
    <mergeCell ref="W38:X38"/>
    <mergeCell ref="A32:N32"/>
    <mergeCell ref="A33:N33"/>
    <mergeCell ref="P33:X33"/>
    <mergeCell ref="A34:N34"/>
    <mergeCell ref="P34:T34"/>
    <mergeCell ref="W34:X34"/>
    <mergeCell ref="Q7:V7"/>
    <mergeCell ref="W7:X7"/>
    <mergeCell ref="H7:H9"/>
    <mergeCell ref="I7:I9"/>
    <mergeCell ref="J7:J9"/>
    <mergeCell ref="S8:S9"/>
    <mergeCell ref="T8:T9"/>
    <mergeCell ref="A31:K31"/>
    <mergeCell ref="P31:T31"/>
    <mergeCell ref="U8:V8"/>
    <mergeCell ref="A27:N27"/>
    <mergeCell ref="A28:L28"/>
    <mergeCell ref="A29:L29"/>
    <mergeCell ref="A30:K30"/>
    <mergeCell ref="P30:X30"/>
    <mergeCell ref="K7:K9"/>
    <mergeCell ref="L7:L9"/>
    <mergeCell ref="M7:M9"/>
    <mergeCell ref="W8:W9"/>
    <mergeCell ref="X8:X9"/>
    <mergeCell ref="A24:L24"/>
    <mergeCell ref="A25:L25"/>
    <mergeCell ref="A26:L26"/>
    <mergeCell ref="A1:Y1"/>
    <mergeCell ref="A2:Y2"/>
    <mergeCell ref="A4:Y4"/>
    <mergeCell ref="A7:A9"/>
    <mergeCell ref="B7:B9"/>
    <mergeCell ref="C7:C9"/>
    <mergeCell ref="D7:D9"/>
    <mergeCell ref="E7:E9"/>
    <mergeCell ref="F7:F9"/>
    <mergeCell ref="G7:G9"/>
    <mergeCell ref="Y7:Y9"/>
    <mergeCell ref="Q8:Q9"/>
    <mergeCell ref="R8:R9"/>
    <mergeCell ref="N7:N9"/>
    <mergeCell ref="O7:O9"/>
    <mergeCell ref="P7:P9"/>
  </mergeCells>
  <pageMargins left="0.70866141732283472" right="0.70866141732283472" top="0.74803149606299213" bottom="0.7480314960629921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6</vt:i4>
      </vt:variant>
    </vt:vector>
  </HeadingPairs>
  <TitlesOfParts>
    <vt:vector size="19" baseType="lpstr">
      <vt:lpstr>budget 2022-2023-2024</vt:lpstr>
      <vt:lpstr>SP SERVIZI 22-23 prova</vt:lpstr>
      <vt:lpstr>INVESTIMENTI FABIANI 22-23-24</vt:lpstr>
      <vt:lpstr>SP SERVIZI 22-23 </vt:lpstr>
      <vt:lpstr>fornit. e servizi 2022-23 SP </vt:lpstr>
      <vt:lpstr>TRIBUTI SERVIZI </vt:lpstr>
      <vt:lpstr>fornit.- serv.def 22-23 tributi</vt:lpstr>
      <vt:lpstr>SERVIZI SMS</vt:lpstr>
      <vt:lpstr>fornit.- serv.22-23 SMS</vt:lpstr>
      <vt:lpstr>trib ins.def. nei lavori 22-24</vt:lpstr>
      <vt:lpstr>SP-TRIB. nei lavori 22-24 </vt:lpstr>
      <vt:lpstr>fornit- serv.22-23 COMPLETO</vt:lpstr>
      <vt:lpstr>lavori 2022-23-24 compl.</vt:lpstr>
      <vt:lpstr>'fornit- serv.22-23 COMPLETO'!Area_stampa</vt:lpstr>
      <vt:lpstr>'fornit. e servizi 2022-23 SP '!Area_stampa</vt:lpstr>
      <vt:lpstr>'fornit.- serv.22-23 SMS'!Area_stampa</vt:lpstr>
      <vt:lpstr>'fornit.- serv.def 22-23 tributi'!Area_stampa</vt:lpstr>
      <vt:lpstr>'lavori 2022-23-24 compl.'!Area_stampa</vt:lpstr>
      <vt:lpstr>'TRIBUTI SERVIZI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 Donati</dc:creator>
  <cp:lastModifiedBy>Roberto . Donati</cp:lastModifiedBy>
  <cp:lastPrinted>2022-03-07T08:36:57Z</cp:lastPrinted>
  <dcterms:created xsi:type="dcterms:W3CDTF">2021-04-29T07:06:28Z</dcterms:created>
  <dcterms:modified xsi:type="dcterms:W3CDTF">2022-06-28T15:51:32Z</dcterms:modified>
</cp:coreProperties>
</file>